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31"/>
  <workbookPr/>
  <mc:AlternateContent xmlns:mc="http://schemas.openxmlformats.org/markup-compatibility/2006">
    <mc:Choice Requires="x15">
      <x15ac:absPath xmlns:x15ac="http://schemas.microsoft.com/office/spreadsheetml/2010/11/ac" url="/Users/mirzaaydemir/Desktop/Schulich/CFA Research Challenge/CFAA/"/>
    </mc:Choice>
  </mc:AlternateContent>
  <xr:revisionPtr revIDLastSave="0" documentId="13_ncr:1_{7798BB0E-E41B-8F4D-AF17-9067FFF5D1D1}" xr6:coauthVersionLast="47" xr6:coauthVersionMax="47" xr10:uidLastSave="{00000000-0000-0000-0000-000000000000}"/>
  <bookViews>
    <workbookView xWindow="0" yWindow="780" windowWidth="36000" windowHeight="22600" xr2:uid="{7E010C49-644B-4E17-B30F-060CA381C10F}"/>
  </bookViews>
  <sheets>
    <sheet name="Vertical Statements " sheetId="2" r:id="rId1"/>
    <sheet name="Revenue Forecast " sheetId="3" r:id="rId2"/>
    <sheet name="Revenue Explanation" sheetId="7" r:id="rId3"/>
    <sheet name="Depreciation Schedules " sheetId="4" r:id="rId4"/>
    <sheet name="WACC Calculation" sheetId="5" r:id="rId5"/>
    <sheet name="DCF " sheetId="6" r:id="rId6"/>
    <sheet name="Relative Valuation" sheetId="9" r:id="rId7"/>
    <sheet name="Target Price Computation" sheetId="8" r:id="rId8"/>
    <sheet name="Charts" sheetId="10" r:id="rId9"/>
    <sheet name="Company DATA" sheetId="1" state="hidden" r:id="rId10"/>
  </sheets>
  <calcPr calcId="191028"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0" l="1"/>
  <c r="C26" i="10"/>
  <c r="D26" i="10"/>
  <c r="E26" i="10"/>
  <c r="C24" i="10"/>
  <c r="D24" i="10"/>
  <c r="E24" i="10"/>
  <c r="F24" i="10"/>
  <c r="C22" i="10"/>
  <c r="D22" i="10"/>
  <c r="E22" i="10"/>
  <c r="F22" i="10"/>
  <c r="B20" i="10"/>
  <c r="B26" i="10"/>
  <c r="B24" i="10"/>
  <c r="C20" i="10"/>
  <c r="D20" i="10"/>
  <c r="E20" i="10"/>
  <c r="F20" i="10"/>
  <c r="D18" i="10"/>
  <c r="C18" i="10"/>
  <c r="E18" i="10"/>
  <c r="F18" i="10"/>
  <c r="B18" i="10"/>
  <c r="C16" i="10"/>
  <c r="D16" i="10"/>
  <c r="E16" i="10"/>
  <c r="F16" i="10"/>
  <c r="B21" i="10"/>
  <c r="B22" i="10" s="1"/>
  <c r="B15" i="10"/>
  <c r="B16" i="10" s="1"/>
  <c r="H21" i="3"/>
  <c r="G78" i="3"/>
  <c r="F78" i="3"/>
  <c r="E78" i="3"/>
  <c r="D78" i="3"/>
  <c r="C78" i="3"/>
  <c r="E22" i="8"/>
  <c r="E21" i="8"/>
  <c r="F21" i="8" s="1"/>
  <c r="F22" i="8"/>
  <c r="E16" i="3"/>
  <c r="N4" i="2"/>
  <c r="C40" i="9"/>
  <c r="B40" i="9"/>
  <c r="K40" i="9"/>
  <c r="J40" i="9"/>
  <c r="K39" i="9"/>
  <c r="J39" i="9"/>
  <c r="C39" i="9"/>
  <c r="F47" i="3"/>
  <c r="E47" i="3"/>
  <c r="D47" i="3"/>
  <c r="I174" i="2" l="1"/>
  <c r="J174" i="2" s="1"/>
  <c r="K174" i="2" s="1"/>
  <c r="L174" i="2" s="1"/>
  <c r="H174" i="2"/>
  <c r="D47" i="2"/>
  <c r="C47" i="2"/>
  <c r="N18" i="9"/>
  <c r="M18" i="9"/>
  <c r="L18" i="9"/>
  <c r="K18" i="9"/>
  <c r="J18" i="9"/>
  <c r="N9" i="9"/>
  <c r="N12" i="9" s="1"/>
  <c r="N19" i="9" s="1"/>
  <c r="L9" i="9"/>
  <c r="L12" i="9" s="1"/>
  <c r="L19" i="9" s="1"/>
  <c r="K9" i="9"/>
  <c r="K12" i="9" s="1"/>
  <c r="K19" i="9" s="1"/>
  <c r="J9" i="9"/>
  <c r="J12" i="9" s="1"/>
  <c r="J19" i="9" s="1"/>
  <c r="M9" i="9"/>
  <c r="M12" i="9" s="1"/>
  <c r="M19" i="9" s="1"/>
  <c r="F18" i="9"/>
  <c r="E18" i="9"/>
  <c r="D18" i="9"/>
  <c r="C18" i="9"/>
  <c r="B18" i="9"/>
  <c r="F9" i="9"/>
  <c r="F12" i="9" s="1"/>
  <c r="F19" i="9" s="1"/>
  <c r="E9" i="9"/>
  <c r="E12" i="9" s="1"/>
  <c r="E19" i="9" s="1"/>
  <c r="D9" i="9"/>
  <c r="D12" i="9" s="1"/>
  <c r="D19" i="9" s="1"/>
  <c r="C9" i="9"/>
  <c r="C12" i="9" s="1"/>
  <c r="C19" i="9" s="1"/>
  <c r="B9" i="9"/>
  <c r="B12" i="9" s="1"/>
  <c r="B19" i="9" s="1"/>
  <c r="J26" i="9" l="1"/>
  <c r="J27" i="9"/>
  <c r="J25" i="9"/>
  <c r="J43" i="9" s="1"/>
  <c r="J45" i="9" s="1"/>
  <c r="J47" i="9" s="1"/>
  <c r="J28" i="9"/>
  <c r="K27" i="9"/>
  <c r="K26" i="9"/>
  <c r="K44" i="9" s="1"/>
  <c r="K46" i="9" s="1"/>
  <c r="K48" i="9" s="1"/>
  <c r="K25" i="9"/>
  <c r="K43" i="9" s="1"/>
  <c r="K45" i="9" s="1"/>
  <c r="K47" i="9" s="1"/>
  <c r="K28" i="9"/>
  <c r="B25" i="9"/>
  <c r="B43" i="9" s="1"/>
  <c r="B45" i="9" s="1"/>
  <c r="B47" i="9" s="1"/>
  <c r="B26" i="9"/>
  <c r="B28" i="9"/>
  <c r="B27" i="9"/>
  <c r="C26" i="9"/>
  <c r="C44" i="9" s="1"/>
  <c r="C46" i="9" s="1"/>
  <c r="C48" i="9" s="1"/>
  <c r="C25" i="9"/>
  <c r="C43" i="9" s="1"/>
  <c r="C45" i="9" s="1"/>
  <c r="C47" i="9" s="1"/>
  <c r="C28" i="9"/>
  <c r="C27" i="9"/>
  <c r="B37" i="9" l="1"/>
  <c r="B38" i="9" s="1"/>
  <c r="B39" i="9" s="1"/>
  <c r="B44" i="9"/>
  <c r="B46" i="9" s="1"/>
  <c r="B48" i="9" s="1"/>
  <c r="J37" i="9"/>
  <c r="J38" i="9" s="1"/>
  <c r="J44" i="9"/>
  <c r="J46" i="9" s="1"/>
  <c r="J48" i="9" s="1"/>
  <c r="K37" i="9"/>
  <c r="K38" i="9" s="1"/>
  <c r="C37" i="9"/>
  <c r="C38" i="9" s="1"/>
  <c r="B21" i="9"/>
  <c r="J21" i="9"/>
  <c r="E7" i="8" l="1"/>
  <c r="F7" i="8" s="1"/>
  <c r="E6" i="8"/>
  <c r="F6" i="8" s="1"/>
  <c r="I72" i="3"/>
  <c r="J72" i="3" s="1"/>
  <c r="K72" i="3" s="1"/>
  <c r="L72" i="3" s="1"/>
  <c r="I142" i="2"/>
  <c r="J142" i="2" s="1"/>
  <c r="K142" i="2" s="1"/>
  <c r="L142" i="2" s="1"/>
  <c r="H142" i="2"/>
  <c r="F127" i="2"/>
  <c r="E127" i="2"/>
  <c r="D127" i="2"/>
  <c r="C127" i="2"/>
  <c r="G127" i="2"/>
  <c r="G126" i="2"/>
  <c r="F126" i="2"/>
  <c r="E126" i="2"/>
  <c r="D126" i="2"/>
  <c r="C126" i="2"/>
  <c r="L112" i="2"/>
  <c r="K112" i="2"/>
  <c r="J112" i="2"/>
  <c r="I112" i="2"/>
  <c r="H112" i="2"/>
  <c r="L106" i="2"/>
  <c r="K106" i="2"/>
  <c r="J106" i="2"/>
  <c r="I106" i="2"/>
  <c r="H106" i="2"/>
  <c r="I108" i="2"/>
  <c r="J108" i="2" s="1"/>
  <c r="K108" i="2" s="1"/>
  <c r="L108" i="2" s="1"/>
  <c r="H108" i="2"/>
  <c r="H135" i="2"/>
  <c r="D191" i="2"/>
  <c r="C191" i="2"/>
  <c r="K17" i="6" l="1"/>
  <c r="J17" i="6"/>
  <c r="I17" i="6"/>
  <c r="H17" i="6"/>
  <c r="G17" i="6"/>
  <c r="F17" i="6"/>
  <c r="E17" i="6"/>
  <c r="D17" i="6"/>
  <c r="C17" i="6"/>
  <c r="B17" i="6"/>
  <c r="G188" i="2"/>
  <c r="F188" i="2"/>
  <c r="E188" i="2"/>
  <c r="D188" i="2"/>
  <c r="C188" i="2"/>
  <c r="I17" i="2"/>
  <c r="J17" i="2" s="1"/>
  <c r="K17" i="2" s="1"/>
  <c r="L17" i="2" s="1"/>
  <c r="I15" i="2"/>
  <c r="J15" i="2" s="1"/>
  <c r="K15" i="2" s="1"/>
  <c r="L15" i="2" s="1"/>
  <c r="F67" i="3" l="1"/>
  <c r="E67" i="3"/>
  <c r="D67" i="3"/>
  <c r="C67" i="3"/>
  <c r="G67" i="3"/>
  <c r="G50" i="3"/>
  <c r="G52" i="3"/>
  <c r="H52" i="3" s="1"/>
  <c r="I52" i="3" s="1"/>
  <c r="J52" i="3" s="1"/>
  <c r="K52" i="3" s="1"/>
  <c r="L52" i="3" s="1"/>
  <c r="C33" i="5"/>
  <c r="C39" i="5" s="1"/>
  <c r="P4" i="6" s="1"/>
  <c r="C37" i="6" s="1"/>
  <c r="M5" i="3"/>
  <c r="F19" i="6"/>
  <c r="E19" i="6"/>
  <c r="D19" i="6"/>
  <c r="C19" i="6"/>
  <c r="B19" i="6"/>
  <c r="P16" i="6"/>
  <c r="F14" i="6"/>
  <c r="E14" i="6"/>
  <c r="D14" i="6"/>
  <c r="C14" i="6"/>
  <c r="F13" i="6"/>
  <c r="E13" i="6"/>
  <c r="D13" i="6"/>
  <c r="B13" i="6"/>
  <c r="F4" i="6"/>
  <c r="E4" i="6"/>
  <c r="D4" i="6"/>
  <c r="C4" i="6"/>
  <c r="B4" i="6"/>
  <c r="G3" i="6"/>
  <c r="H3" i="6" s="1"/>
  <c r="I3" i="6" s="1"/>
  <c r="J3" i="6" s="1"/>
  <c r="K3" i="6" s="1"/>
  <c r="K17" i="5"/>
  <c r="L17" i="5" s="1"/>
  <c r="C14" i="5"/>
  <c r="J11" i="5"/>
  <c r="K11" i="5" s="1"/>
  <c r="L11" i="5" s="1"/>
  <c r="I11" i="5"/>
  <c r="C8" i="5"/>
  <c r="G7" i="5"/>
  <c r="G9" i="5" s="1"/>
  <c r="F7" i="5"/>
  <c r="F15" i="5" s="1"/>
  <c r="E7" i="5"/>
  <c r="E17" i="5" s="1"/>
  <c r="D7" i="5"/>
  <c r="D15" i="5" s="1"/>
  <c r="C7" i="5"/>
  <c r="C15" i="5" s="1"/>
  <c r="G71" i="4"/>
  <c r="G72" i="4" s="1"/>
  <c r="F71" i="4"/>
  <c r="F72" i="4" s="1"/>
  <c r="E71" i="4"/>
  <c r="E72" i="4" s="1"/>
  <c r="D71" i="4"/>
  <c r="D72" i="4" s="1"/>
  <c r="H70" i="4"/>
  <c r="G49" i="4"/>
  <c r="G50" i="4" s="1"/>
  <c r="F49" i="4"/>
  <c r="F50" i="4" s="1"/>
  <c r="D49" i="4"/>
  <c r="D50" i="4" s="1"/>
  <c r="H48" i="4"/>
  <c r="L56" i="4" s="1"/>
  <c r="I47" i="4"/>
  <c r="J47" i="4" s="1"/>
  <c r="K47" i="4" s="1"/>
  <c r="L47" i="4" s="1"/>
  <c r="H47" i="4"/>
  <c r="Q20" i="4"/>
  <c r="Q19" i="4"/>
  <c r="Q18" i="4"/>
  <c r="O22" i="4" s="1"/>
  <c r="L25" i="4" s="1"/>
  <c r="Q17" i="4"/>
  <c r="G5" i="4"/>
  <c r="G6" i="4" s="1"/>
  <c r="F5" i="4"/>
  <c r="F6" i="4" s="1"/>
  <c r="E5" i="4"/>
  <c r="E6" i="4" s="1"/>
  <c r="D5" i="4"/>
  <c r="D6" i="4" s="1"/>
  <c r="H4" i="4"/>
  <c r="J12" i="4" s="1"/>
  <c r="H3" i="4"/>
  <c r="I3" i="4" s="1"/>
  <c r="J3" i="4" s="1"/>
  <c r="K3" i="4" s="1"/>
  <c r="L3" i="4" s="1"/>
  <c r="K52" i="7"/>
  <c r="I52" i="7"/>
  <c r="G73" i="3"/>
  <c r="F73" i="3"/>
  <c r="F74" i="3" s="1"/>
  <c r="E73" i="3"/>
  <c r="D73" i="3"/>
  <c r="C73" i="3"/>
  <c r="L71" i="3"/>
  <c r="K71" i="3"/>
  <c r="J71" i="3"/>
  <c r="I71" i="3"/>
  <c r="H71" i="3"/>
  <c r="G71" i="3"/>
  <c r="F71" i="3"/>
  <c r="E71" i="3"/>
  <c r="D71" i="3"/>
  <c r="C71" i="3"/>
  <c r="G64" i="3"/>
  <c r="H64" i="3" s="1"/>
  <c r="I64" i="3" s="1"/>
  <c r="J64" i="3" s="1"/>
  <c r="K64" i="3" s="1"/>
  <c r="L64" i="3" s="1"/>
  <c r="F64" i="3"/>
  <c r="F63" i="3"/>
  <c r="G62" i="3"/>
  <c r="F62" i="3"/>
  <c r="E62" i="3"/>
  <c r="E63" i="3" s="1"/>
  <c r="D62" i="3"/>
  <c r="D63" i="3" s="1"/>
  <c r="C62" i="3"/>
  <c r="G60" i="3"/>
  <c r="F60" i="3"/>
  <c r="G58" i="3"/>
  <c r="F58" i="3"/>
  <c r="E58" i="3"/>
  <c r="D58" i="3"/>
  <c r="C58" i="3"/>
  <c r="G56" i="3"/>
  <c r="F56" i="3"/>
  <c r="G57" i="3" s="1"/>
  <c r="G54" i="3"/>
  <c r="G55" i="3" s="1"/>
  <c r="F54" i="3"/>
  <c r="E54" i="3"/>
  <c r="D54" i="3"/>
  <c r="C54" i="3"/>
  <c r="F52" i="3"/>
  <c r="G53" i="3" s="1"/>
  <c r="F50" i="3"/>
  <c r="E50" i="3"/>
  <c r="D50" i="3"/>
  <c r="C50" i="3"/>
  <c r="G49" i="3"/>
  <c r="H48" i="3"/>
  <c r="G47" i="3"/>
  <c r="G45" i="3"/>
  <c r="F45" i="3"/>
  <c r="E45" i="3"/>
  <c r="D45" i="3"/>
  <c r="G44" i="3"/>
  <c r="F44" i="3"/>
  <c r="E44" i="3"/>
  <c r="D44" i="3"/>
  <c r="G41" i="3"/>
  <c r="H41" i="3" s="1"/>
  <c r="I41" i="3" s="1"/>
  <c r="J41" i="3" s="1"/>
  <c r="F41" i="3"/>
  <c r="E41" i="3"/>
  <c r="D41" i="3"/>
  <c r="C41" i="3"/>
  <c r="G32" i="3"/>
  <c r="G15" i="3" s="1"/>
  <c r="F32" i="3"/>
  <c r="F10" i="3" s="1"/>
  <c r="E32" i="3"/>
  <c r="E24" i="3" s="1"/>
  <c r="D32" i="3"/>
  <c r="D28" i="3" s="1"/>
  <c r="C32" i="3"/>
  <c r="C24" i="3" s="1"/>
  <c r="G29" i="3"/>
  <c r="G30" i="3" s="1"/>
  <c r="F29" i="3"/>
  <c r="F30" i="3" s="1"/>
  <c r="E29" i="3"/>
  <c r="E30" i="3" s="1"/>
  <c r="D29" i="3"/>
  <c r="D30" i="3" s="1"/>
  <c r="C29" i="3"/>
  <c r="C30" i="3" s="1"/>
  <c r="G27" i="3"/>
  <c r="F27" i="3"/>
  <c r="E27" i="3"/>
  <c r="D27" i="3"/>
  <c r="C27" i="3"/>
  <c r="G25" i="3"/>
  <c r="F25" i="3"/>
  <c r="E25" i="3"/>
  <c r="D25" i="3"/>
  <c r="H23" i="3"/>
  <c r="I23" i="3" s="1"/>
  <c r="G20" i="3"/>
  <c r="G21" i="3" s="1"/>
  <c r="F20" i="3"/>
  <c r="F21" i="3" s="1"/>
  <c r="E20" i="3"/>
  <c r="E21" i="3" s="1"/>
  <c r="D20" i="3"/>
  <c r="D21" i="3" s="1"/>
  <c r="C20" i="3"/>
  <c r="C21" i="3" s="1"/>
  <c r="G18" i="3"/>
  <c r="H18" i="3" s="1"/>
  <c r="F18" i="3"/>
  <c r="E18" i="3"/>
  <c r="D18" i="3"/>
  <c r="C18" i="3"/>
  <c r="C17" i="3"/>
  <c r="G16" i="3"/>
  <c r="F16" i="3"/>
  <c r="D16" i="3"/>
  <c r="E12" i="3"/>
  <c r="D12" i="3"/>
  <c r="C12" i="3"/>
  <c r="G11" i="3"/>
  <c r="G12" i="3" s="1"/>
  <c r="F11" i="3"/>
  <c r="F12" i="3" s="1"/>
  <c r="E11" i="3"/>
  <c r="D11" i="3"/>
  <c r="C11" i="3"/>
  <c r="G9" i="3"/>
  <c r="H9" i="3" s="1"/>
  <c r="I9" i="3" s="1"/>
  <c r="J9" i="3" s="1"/>
  <c r="K9" i="3" s="1"/>
  <c r="L9" i="3" s="1"/>
  <c r="F9" i="3"/>
  <c r="E9" i="3"/>
  <c r="D9" i="3"/>
  <c r="C9" i="3"/>
  <c r="A9" i="3" s="1"/>
  <c r="G7" i="3"/>
  <c r="F7" i="3"/>
  <c r="E7" i="3"/>
  <c r="D7" i="3"/>
  <c r="G213" i="2"/>
  <c r="G215" i="2" s="1"/>
  <c r="F213" i="2"/>
  <c r="F215" i="2" s="1"/>
  <c r="E213" i="2"/>
  <c r="E215" i="2" s="1"/>
  <c r="D213" i="2"/>
  <c r="D215" i="2" s="1"/>
  <c r="C213" i="2"/>
  <c r="C215" i="2" s="1"/>
  <c r="F212" i="2"/>
  <c r="E212" i="2"/>
  <c r="E211" i="2" s="1"/>
  <c r="C212" i="2"/>
  <c r="G209" i="2"/>
  <c r="F209" i="2"/>
  <c r="E209" i="2"/>
  <c r="D209" i="2"/>
  <c r="C209" i="2"/>
  <c r="H206" i="2"/>
  <c r="L205" i="2"/>
  <c r="K205" i="2"/>
  <c r="J205" i="2"/>
  <c r="I205" i="2"/>
  <c r="G199" i="2"/>
  <c r="F199" i="2"/>
  <c r="E199" i="2"/>
  <c r="D199" i="2"/>
  <c r="C199" i="2"/>
  <c r="G174" i="2"/>
  <c r="F174" i="2"/>
  <c r="E174" i="2"/>
  <c r="D174" i="2"/>
  <c r="C173" i="2"/>
  <c r="C174" i="2" s="1"/>
  <c r="G155" i="2"/>
  <c r="F155" i="2"/>
  <c r="E155" i="2"/>
  <c r="D155" i="2"/>
  <c r="C155" i="2"/>
  <c r="H153" i="2"/>
  <c r="I153" i="2" s="1"/>
  <c r="J153" i="2" s="1"/>
  <c r="K153" i="2" s="1"/>
  <c r="L153" i="2" s="1"/>
  <c r="H152" i="2"/>
  <c r="I152" i="2" s="1"/>
  <c r="J152" i="2" s="1"/>
  <c r="K152" i="2" s="1"/>
  <c r="L152" i="2" s="1"/>
  <c r="C144" i="2"/>
  <c r="G142" i="2"/>
  <c r="F142" i="2"/>
  <c r="E142" i="2"/>
  <c r="D142" i="2"/>
  <c r="C142" i="2"/>
  <c r="G136" i="2"/>
  <c r="G148" i="2" s="1"/>
  <c r="F136" i="2"/>
  <c r="F148" i="2" s="1"/>
  <c r="E136" i="2"/>
  <c r="E148" i="2" s="1"/>
  <c r="D136" i="2"/>
  <c r="D148" i="2" s="1"/>
  <c r="C136" i="2"/>
  <c r="G131" i="2"/>
  <c r="F131" i="2"/>
  <c r="E131" i="2"/>
  <c r="D131" i="2"/>
  <c r="C131" i="2"/>
  <c r="I129" i="2"/>
  <c r="G129" i="2"/>
  <c r="F129" i="2"/>
  <c r="E129" i="2"/>
  <c r="D129" i="2"/>
  <c r="H123" i="2"/>
  <c r="I123" i="2" s="1"/>
  <c r="J123" i="2" s="1"/>
  <c r="K123" i="2" s="1"/>
  <c r="L123" i="2" s="1"/>
  <c r="G122" i="2"/>
  <c r="F122" i="2"/>
  <c r="E122" i="2"/>
  <c r="D122" i="2"/>
  <c r="C122" i="2"/>
  <c r="H119" i="2"/>
  <c r="I119" i="2" s="1"/>
  <c r="J119" i="2" s="1"/>
  <c r="K119" i="2" s="1"/>
  <c r="L119" i="2" s="1"/>
  <c r="H118" i="2"/>
  <c r="I118" i="2" s="1"/>
  <c r="J118" i="2" s="1"/>
  <c r="K118" i="2" s="1"/>
  <c r="L118" i="2" s="1"/>
  <c r="G113" i="2"/>
  <c r="G124" i="2" s="1"/>
  <c r="F113" i="2"/>
  <c r="F124" i="2" s="1"/>
  <c r="E113" i="2"/>
  <c r="E124" i="2" s="1"/>
  <c r="E145" i="2" s="1"/>
  <c r="D113" i="2"/>
  <c r="D124" i="2" s="1"/>
  <c r="C113" i="2"/>
  <c r="C124" i="2" s="1"/>
  <c r="G112" i="2"/>
  <c r="F112" i="2"/>
  <c r="E112" i="2"/>
  <c r="D112" i="2"/>
  <c r="C112" i="2"/>
  <c r="G110" i="2"/>
  <c r="F110" i="2"/>
  <c r="E110" i="2"/>
  <c r="D110" i="2"/>
  <c r="G108" i="2"/>
  <c r="F108" i="2"/>
  <c r="E108" i="2"/>
  <c r="G106" i="2"/>
  <c r="F106" i="2"/>
  <c r="E106" i="2"/>
  <c r="D106" i="2"/>
  <c r="C86" i="2"/>
  <c r="F85" i="2"/>
  <c r="F84" i="2"/>
  <c r="F83" i="2"/>
  <c r="F82" i="2"/>
  <c r="E81" i="2"/>
  <c r="E86" i="2" s="1"/>
  <c r="C72" i="2" s="1"/>
  <c r="C71" i="2"/>
  <c r="H65" i="2"/>
  <c r="I65" i="2" s="1"/>
  <c r="J65" i="2" s="1"/>
  <c r="K65" i="2" s="1"/>
  <c r="L65" i="2" s="1"/>
  <c r="H56" i="2"/>
  <c r="G56" i="2"/>
  <c r="F56" i="2"/>
  <c r="E56" i="2"/>
  <c r="D56" i="2"/>
  <c r="C56" i="2"/>
  <c r="G55" i="2"/>
  <c r="F55" i="2"/>
  <c r="E55" i="2"/>
  <c r="D55" i="2"/>
  <c r="C55" i="2"/>
  <c r="G53" i="2"/>
  <c r="F53" i="2"/>
  <c r="E53" i="2"/>
  <c r="D53" i="2"/>
  <c r="C53" i="2"/>
  <c r="I52" i="2"/>
  <c r="I56" i="2" s="1"/>
  <c r="G46" i="2"/>
  <c r="F46" i="2"/>
  <c r="E46" i="2"/>
  <c r="D46" i="2"/>
  <c r="C46" i="2"/>
  <c r="G40" i="2"/>
  <c r="F40" i="2"/>
  <c r="E40" i="2"/>
  <c r="D40" i="2"/>
  <c r="C40" i="2"/>
  <c r="G35" i="2"/>
  <c r="F35" i="2"/>
  <c r="E35" i="2"/>
  <c r="D35" i="2"/>
  <c r="C35" i="2"/>
  <c r="G31" i="2"/>
  <c r="F31" i="2"/>
  <c r="E31" i="2"/>
  <c r="C31" i="2"/>
  <c r="L30" i="2"/>
  <c r="K30" i="2"/>
  <c r="J30" i="2"/>
  <c r="I30" i="2"/>
  <c r="H30" i="2"/>
  <c r="G29" i="2"/>
  <c r="F29" i="2"/>
  <c r="E29" i="2"/>
  <c r="D29" i="2"/>
  <c r="C29" i="2"/>
  <c r="G27" i="2"/>
  <c r="F27" i="2"/>
  <c r="E27" i="2"/>
  <c r="C27" i="2"/>
  <c r="D26" i="2"/>
  <c r="D31" i="2" s="1"/>
  <c r="G25" i="2"/>
  <c r="F25" i="2"/>
  <c r="E25" i="2"/>
  <c r="D25" i="2"/>
  <c r="C25" i="2"/>
  <c r="G23" i="2"/>
  <c r="F23" i="2"/>
  <c r="E23" i="2"/>
  <c r="D23" i="2"/>
  <c r="C23" i="2"/>
  <c r="G21" i="2"/>
  <c r="F21" i="2"/>
  <c r="E21" i="2"/>
  <c r="D21" i="2"/>
  <c r="C21" i="2"/>
  <c r="G19" i="2"/>
  <c r="F19" i="2"/>
  <c r="E19" i="2"/>
  <c r="D19" i="2"/>
  <c r="C19" i="2"/>
  <c r="G17" i="2"/>
  <c r="F17" i="2"/>
  <c r="E17" i="2"/>
  <c r="D17" i="2"/>
  <c r="C17" i="2"/>
  <c r="G15" i="2"/>
  <c r="F15" i="2"/>
  <c r="E15" i="2"/>
  <c r="D15" i="2"/>
  <c r="C15" i="2"/>
  <c r="G13" i="2"/>
  <c r="H13" i="2" s="1"/>
  <c r="I13" i="2" s="1"/>
  <c r="J13" i="2" s="1"/>
  <c r="K13" i="2" s="1"/>
  <c r="L13" i="2" s="1"/>
  <c r="F13" i="2"/>
  <c r="E13" i="2"/>
  <c r="D13" i="2"/>
  <c r="C13" i="2"/>
  <c r="G8" i="2"/>
  <c r="F8" i="2"/>
  <c r="E8" i="2"/>
  <c r="D8" i="2"/>
  <c r="D9" i="2" s="1"/>
  <c r="C8" i="2"/>
  <c r="G7" i="2"/>
  <c r="F7" i="2"/>
  <c r="E7" i="2"/>
  <c r="D7" i="2"/>
  <c r="C7" i="2"/>
  <c r="G5" i="2"/>
  <c r="F5" i="2"/>
  <c r="E5" i="2"/>
  <c r="D5" i="2"/>
  <c r="E74" i="3" l="1"/>
  <c r="D10" i="3"/>
  <c r="A18" i="3"/>
  <c r="E55" i="3"/>
  <c r="E6" i="3"/>
  <c r="G65" i="3"/>
  <c r="G74" i="3"/>
  <c r="A27" i="3"/>
  <c r="H42" i="3"/>
  <c r="H44" i="3" s="1"/>
  <c r="D59" i="3"/>
  <c r="G61" i="3"/>
  <c r="D72" i="3"/>
  <c r="H212" i="2"/>
  <c r="E157" i="2"/>
  <c r="E5" i="6"/>
  <c r="D13" i="5"/>
  <c r="C33" i="2"/>
  <c r="C36" i="2"/>
  <c r="B9" i="6"/>
  <c r="F33" i="2"/>
  <c r="F36" i="2"/>
  <c r="E9" i="6"/>
  <c r="G33" i="2"/>
  <c r="G36" i="2"/>
  <c r="F9" i="6"/>
  <c r="G91" i="4"/>
  <c r="C91" i="4"/>
  <c r="D6" i="3"/>
  <c r="D33" i="2"/>
  <c r="D36" i="2"/>
  <c r="C9" i="6"/>
  <c r="E33" i="2"/>
  <c r="E36" i="2"/>
  <c r="D9" i="6"/>
  <c r="D212" i="2"/>
  <c r="J23" i="3"/>
  <c r="F72" i="3"/>
  <c r="K41" i="3"/>
  <c r="L41" i="3" s="1"/>
  <c r="F51" i="3"/>
  <c r="E51" i="3"/>
  <c r="G72" i="3"/>
  <c r="K22" i="4"/>
  <c r="F59" i="3"/>
  <c r="D55" i="3"/>
  <c r="L24" i="4"/>
  <c r="H22" i="4"/>
  <c r="D51" i="3"/>
  <c r="E59" i="3"/>
  <c r="C38" i="6"/>
  <c r="C39" i="6" s="1"/>
  <c r="C36" i="6"/>
  <c r="C35" i="6" s="1"/>
  <c r="D74" i="3"/>
  <c r="F55" i="3"/>
  <c r="I18" i="3"/>
  <c r="J18" i="3" s="1"/>
  <c r="K18" i="3" s="1"/>
  <c r="E72" i="3"/>
  <c r="I23" i="4"/>
  <c r="L27" i="4"/>
  <c r="H23" i="4"/>
  <c r="L26" i="4"/>
  <c r="K26" i="4"/>
  <c r="L22" i="4"/>
  <c r="K25" i="4"/>
  <c r="J22" i="4"/>
  <c r="J25" i="4"/>
  <c r="I22" i="4"/>
  <c r="K24" i="4"/>
  <c r="J24" i="4"/>
  <c r="I24" i="4"/>
  <c r="J23" i="4"/>
  <c r="L23" i="4"/>
  <c r="K23" i="4"/>
  <c r="G59" i="3"/>
  <c r="H27" i="3"/>
  <c r="G63" i="3"/>
  <c r="D211" i="2"/>
  <c r="D19" i="3"/>
  <c r="H25" i="2"/>
  <c r="I25" i="2" s="1"/>
  <c r="D24" i="3"/>
  <c r="G51" i="3"/>
  <c r="K131" i="2"/>
  <c r="I48" i="3"/>
  <c r="E91" i="4"/>
  <c r="H40" i="2"/>
  <c r="H5" i="3"/>
  <c r="C5" i="6"/>
  <c r="E15" i="5"/>
  <c r="C145" i="2"/>
  <c r="C108" i="2"/>
  <c r="F147" i="2"/>
  <c r="F104" i="2"/>
  <c r="G133" i="2"/>
  <c r="G120" i="2"/>
  <c r="G38" i="2"/>
  <c r="F157" i="2"/>
  <c r="F159" i="2" s="1"/>
  <c r="C9" i="2"/>
  <c r="F91" i="4"/>
  <c r="D27" i="2"/>
  <c r="D91" i="4" s="1"/>
  <c r="F81" i="2"/>
  <c r="F86" i="2" s="1"/>
  <c r="C73" i="2" s="1"/>
  <c r="H205" i="2" s="1"/>
  <c r="C211" i="2"/>
  <c r="E19" i="3"/>
  <c r="G9" i="2"/>
  <c r="H29" i="2"/>
  <c r="I29" i="2" s="1"/>
  <c r="J29" i="2" s="1"/>
  <c r="H110" i="2"/>
  <c r="I110" i="2" s="1"/>
  <c r="I56" i="4"/>
  <c r="F9" i="2"/>
  <c r="C38" i="2"/>
  <c r="F5" i="6"/>
  <c r="E38" i="2"/>
  <c r="E47" i="2" s="1"/>
  <c r="E9" i="2"/>
  <c r="I40" i="2"/>
  <c r="G212" i="2"/>
  <c r="G211" i="2" s="1"/>
  <c r="F211" i="2"/>
  <c r="F38" i="2"/>
  <c r="F47" i="2" s="1"/>
  <c r="J129" i="2"/>
  <c r="K129" i="2" s="1"/>
  <c r="L129" i="2" s="1"/>
  <c r="J131" i="2"/>
  <c r="I131" i="2"/>
  <c r="L131" i="2"/>
  <c r="D157" i="2"/>
  <c r="D159" i="2" s="1"/>
  <c r="P22" i="6"/>
  <c r="G157" i="2"/>
  <c r="G160" i="2" s="1"/>
  <c r="D147" i="2"/>
  <c r="D145" i="2"/>
  <c r="D108" i="2"/>
  <c r="E133" i="2"/>
  <c r="E147" i="2"/>
  <c r="E120" i="2"/>
  <c r="E159" i="2"/>
  <c r="E140" i="2"/>
  <c r="F135" i="2"/>
  <c r="F120" i="2"/>
  <c r="F140" i="2"/>
  <c r="F133" i="2"/>
  <c r="F145" i="2"/>
  <c r="C148" i="2"/>
  <c r="C157" i="2" s="1"/>
  <c r="E19" i="5"/>
  <c r="G147" i="2"/>
  <c r="E49" i="4"/>
  <c r="E50" i="4" s="1"/>
  <c r="C13" i="5"/>
  <c r="C13" i="6"/>
  <c r="B14" i="6"/>
  <c r="D38" i="2"/>
  <c r="J52" i="2"/>
  <c r="G145" i="2"/>
  <c r="C28" i="3"/>
  <c r="G135" i="2"/>
  <c r="G140" i="2"/>
  <c r="D15" i="3"/>
  <c r="E33" i="3"/>
  <c r="D19" i="5"/>
  <c r="F28" i="3"/>
  <c r="F24" i="3"/>
  <c r="F19" i="3"/>
  <c r="F33" i="3"/>
  <c r="F6" i="3"/>
  <c r="K78" i="4"/>
  <c r="J78" i="4"/>
  <c r="I78" i="4"/>
  <c r="H78" i="4"/>
  <c r="L72" i="4"/>
  <c r="L78" i="4"/>
  <c r="F15" i="3"/>
  <c r="D5" i="6"/>
  <c r="C11" i="5"/>
  <c r="C6" i="3"/>
  <c r="C10" i="3"/>
  <c r="C15" i="3"/>
  <c r="E28" i="3"/>
  <c r="G33" i="3"/>
  <c r="E11" i="5"/>
  <c r="E13" i="5"/>
  <c r="G15" i="5"/>
  <c r="C19" i="5"/>
  <c r="C19" i="3"/>
  <c r="G19" i="3"/>
  <c r="G24" i="3"/>
  <c r="G28" i="3"/>
  <c r="D33" i="3"/>
  <c r="G11" i="5"/>
  <c r="G13" i="5"/>
  <c r="G17" i="5"/>
  <c r="E10" i="3"/>
  <c r="C9" i="5"/>
  <c r="D11" i="5"/>
  <c r="F13" i="5"/>
  <c r="G6" i="3"/>
  <c r="D9" i="5"/>
  <c r="F19" i="5"/>
  <c r="K56" i="4"/>
  <c r="G10" i="3"/>
  <c r="E15" i="3"/>
  <c r="H72" i="4"/>
  <c r="E9" i="5"/>
  <c r="F11" i="5"/>
  <c r="C17" i="5"/>
  <c r="G19" i="5"/>
  <c r="H19" i="5" s="1"/>
  <c r="L12" i="4"/>
  <c r="C135" i="2"/>
  <c r="E160" i="2"/>
  <c r="I72" i="4"/>
  <c r="F9" i="5"/>
  <c r="D17" i="5"/>
  <c r="C104" i="2"/>
  <c r="C133" i="2"/>
  <c r="D135" i="2"/>
  <c r="F160" i="2"/>
  <c r="J72" i="4"/>
  <c r="D104" i="2"/>
  <c r="E135" i="2"/>
  <c r="K72" i="4"/>
  <c r="F17" i="5"/>
  <c r="D133" i="2"/>
  <c r="E104" i="2"/>
  <c r="H12" i="4"/>
  <c r="C140" i="2"/>
  <c r="O25" i="4"/>
  <c r="G104" i="2"/>
  <c r="D140" i="2"/>
  <c r="K12" i="4"/>
  <c r="J56" i="4"/>
  <c r="C120" i="2"/>
  <c r="I12" i="4"/>
  <c r="C147" i="2"/>
  <c r="D120" i="2"/>
  <c r="H56" i="4"/>
  <c r="F7" i="6" l="1"/>
  <c r="G47" i="2"/>
  <c r="F41" i="2"/>
  <c r="E7" i="6"/>
  <c r="E11" i="6" s="1"/>
  <c r="D41" i="2"/>
  <c r="C7" i="6"/>
  <c r="C11" i="6" s="1"/>
  <c r="E41" i="2"/>
  <c r="D7" i="6"/>
  <c r="D11" i="6" s="1"/>
  <c r="C41" i="2"/>
  <c r="B7" i="6"/>
  <c r="B11" i="6" s="1"/>
  <c r="F11" i="6"/>
  <c r="H202" i="2"/>
  <c r="H209" i="2" s="1"/>
  <c r="I27" i="3"/>
  <c r="I26" i="3" s="1"/>
  <c r="H8" i="3"/>
  <c r="H11" i="3" s="1"/>
  <c r="H12" i="3" s="1"/>
  <c r="H7" i="3"/>
  <c r="J48" i="3"/>
  <c r="J42" i="3" s="1"/>
  <c r="I5" i="3"/>
  <c r="I42" i="3"/>
  <c r="G41" i="2"/>
  <c r="K23" i="3"/>
  <c r="H26" i="3"/>
  <c r="L18" i="3"/>
  <c r="J110" i="2"/>
  <c r="J25" i="2"/>
  <c r="K25" i="2" s="1"/>
  <c r="G159" i="2"/>
  <c r="C160" i="2"/>
  <c r="C159" i="2"/>
  <c r="H145" i="2"/>
  <c r="J40" i="2"/>
  <c r="B16" i="6"/>
  <c r="D160" i="2"/>
  <c r="K52" i="2"/>
  <c r="J56" i="2"/>
  <c r="C75" i="2"/>
  <c r="C76" i="2" s="1"/>
  <c r="H66" i="2" s="1"/>
  <c r="K29" i="2"/>
  <c r="I19" i="5"/>
  <c r="H30" i="4"/>
  <c r="H133" i="2"/>
  <c r="G49" i="2" l="1"/>
  <c r="G167" i="2" s="1"/>
  <c r="G177" i="2" s="1"/>
  <c r="G191" i="2" s="1"/>
  <c r="F10" i="6"/>
  <c r="C49" i="2"/>
  <c r="B10" i="6"/>
  <c r="E49" i="2"/>
  <c r="D10" i="6"/>
  <c r="D49" i="2"/>
  <c r="C10" i="6"/>
  <c r="F49" i="2"/>
  <c r="E10" i="6"/>
  <c r="K44" i="3"/>
  <c r="I44" i="3"/>
  <c r="I8" i="3"/>
  <c r="I11" i="3" s="1"/>
  <c r="I12" i="3" s="1"/>
  <c r="I7" i="3"/>
  <c r="K48" i="3"/>
  <c r="K42" i="3" s="1"/>
  <c r="J5" i="3"/>
  <c r="L23" i="3"/>
  <c r="H29" i="3"/>
  <c r="H30" i="3" s="1"/>
  <c r="J44" i="3"/>
  <c r="I29" i="3"/>
  <c r="I30" i="3" s="1"/>
  <c r="J27" i="3"/>
  <c r="K110" i="2"/>
  <c r="I66" i="2"/>
  <c r="J66" i="2" s="1"/>
  <c r="K66" i="2" s="1"/>
  <c r="L66" i="2" s="1"/>
  <c r="P23" i="6"/>
  <c r="L29" i="2"/>
  <c r="L25" i="2"/>
  <c r="C16" i="6"/>
  <c r="E16" i="6"/>
  <c r="K40" i="2"/>
  <c r="I145" i="2"/>
  <c r="J145" i="2" s="1"/>
  <c r="K56" i="2"/>
  <c r="L52" i="2"/>
  <c r="D16" i="6"/>
  <c r="I133" i="2"/>
  <c r="I30" i="4"/>
  <c r="J19" i="5"/>
  <c r="G58" i="2" l="1"/>
  <c r="F58" i="2"/>
  <c r="F167" i="2"/>
  <c r="F177" i="2" s="1"/>
  <c r="F191" i="2" s="1"/>
  <c r="D167" i="2"/>
  <c r="D177" i="2" s="1"/>
  <c r="D58" i="2"/>
  <c r="E167" i="2"/>
  <c r="E177" i="2" s="1"/>
  <c r="E191" i="2" s="1"/>
  <c r="E58" i="2"/>
  <c r="C167" i="2"/>
  <c r="C177" i="2" s="1"/>
  <c r="C58" i="2"/>
  <c r="J8" i="3"/>
  <c r="J7" i="3"/>
  <c r="J11" i="3"/>
  <c r="J12" i="3" s="1"/>
  <c r="K5" i="3"/>
  <c r="L48" i="3"/>
  <c r="K27" i="3"/>
  <c r="J26" i="3"/>
  <c r="F16" i="6"/>
  <c r="J30" i="4"/>
  <c r="K30" i="4" s="1"/>
  <c r="L110" i="2"/>
  <c r="L56" i="2"/>
  <c r="L40" i="2"/>
  <c r="K145" i="2"/>
  <c r="L145" i="2" s="1"/>
  <c r="J133" i="2"/>
  <c r="K19" i="5"/>
  <c r="L5" i="3" l="1"/>
  <c r="L42" i="3"/>
  <c r="L44" i="3" s="1"/>
  <c r="L8" i="3"/>
  <c r="L11" i="3" s="1"/>
  <c r="L12" i="3" s="1"/>
  <c r="L7" i="3"/>
  <c r="J29" i="3"/>
  <c r="J30" i="3" s="1"/>
  <c r="K8" i="3"/>
  <c r="K11" i="3" s="1"/>
  <c r="K12" i="3" s="1"/>
  <c r="K7" i="3"/>
  <c r="L27" i="3"/>
  <c r="L26" i="3" s="1"/>
  <c r="K26" i="3"/>
  <c r="L30" i="4"/>
  <c r="K133" i="2"/>
  <c r="L19" i="5"/>
  <c r="K29" i="3" l="1"/>
  <c r="K30" i="3" s="1"/>
  <c r="L29" i="3"/>
  <c r="L30" i="3" s="1"/>
  <c r="L133" i="2"/>
  <c r="I135" i="2" l="1"/>
  <c r="J135" i="2"/>
  <c r="K135" i="2"/>
  <c r="L135" i="2"/>
  <c r="H131" i="2"/>
  <c r="H73" i="3" l="1"/>
  <c r="H43" i="3" s="1"/>
  <c r="I73" i="3"/>
  <c r="J73" i="3" s="1"/>
  <c r="K73" i="3" l="1"/>
  <c r="J43" i="3"/>
  <c r="H14" i="3"/>
  <c r="H45" i="3"/>
  <c r="I43" i="3"/>
  <c r="K43" i="3" l="1"/>
  <c r="L73" i="3"/>
  <c r="L43" i="3" s="1"/>
  <c r="I45" i="3"/>
  <c r="I14" i="3"/>
  <c r="H32" i="3"/>
  <c r="H15" i="3" s="1"/>
  <c r="H17" i="3"/>
  <c r="H16" i="3"/>
  <c r="J14" i="3"/>
  <c r="J45" i="3"/>
  <c r="L14" i="3" l="1"/>
  <c r="L45" i="3"/>
  <c r="J16" i="3"/>
  <c r="J32" i="3"/>
  <c r="J15" i="3" s="1"/>
  <c r="J17" i="3"/>
  <c r="H34" i="3"/>
  <c r="H19" i="3"/>
  <c r="H28" i="3"/>
  <c r="H10" i="3"/>
  <c r="H6" i="3"/>
  <c r="H33" i="3"/>
  <c r="H4" i="2"/>
  <c r="H24" i="3"/>
  <c r="H20" i="3"/>
  <c r="I16" i="3"/>
  <c r="I17" i="3"/>
  <c r="I32" i="3"/>
  <c r="K45" i="3"/>
  <c r="K14" i="3"/>
  <c r="K17" i="3" l="1"/>
  <c r="K16" i="3"/>
  <c r="K32" i="3"/>
  <c r="K15" i="3" s="1"/>
  <c r="I28" i="3"/>
  <c r="I10" i="3"/>
  <c r="I6" i="3"/>
  <c r="I33" i="3"/>
  <c r="I4" i="2"/>
  <c r="I24" i="3"/>
  <c r="J34" i="3"/>
  <c r="J19" i="3"/>
  <c r="J10" i="3"/>
  <c r="J28" i="3"/>
  <c r="J6" i="3"/>
  <c r="J33" i="3"/>
  <c r="J4" i="2"/>
  <c r="J24" i="3"/>
  <c r="J20" i="3"/>
  <c r="J21" i="3" s="1"/>
  <c r="H6" i="2"/>
  <c r="H35" i="3"/>
  <c r="I15" i="3"/>
  <c r="I19" i="3"/>
  <c r="I34" i="3"/>
  <c r="I20" i="3"/>
  <c r="I21" i="3" s="1"/>
  <c r="L16" i="3"/>
  <c r="L17" i="3"/>
  <c r="L20" i="3" s="1"/>
  <c r="L21" i="3" s="1"/>
  <c r="L32" i="3"/>
  <c r="L15" i="3" s="1"/>
  <c r="H14" i="2"/>
  <c r="H22" i="2"/>
  <c r="H53" i="2"/>
  <c r="H16" i="2"/>
  <c r="H71" i="4"/>
  <c r="H111" i="2"/>
  <c r="H105" i="2"/>
  <c r="H179" i="2" s="1"/>
  <c r="H7" i="5"/>
  <c r="H121" i="2"/>
  <c r="H183" i="2" s="1"/>
  <c r="H55" i="2"/>
  <c r="H28" i="2"/>
  <c r="H5" i="4"/>
  <c r="H39" i="2"/>
  <c r="H12" i="2"/>
  <c r="G4" i="6"/>
  <c r="G5" i="6" s="1"/>
  <c r="H107" i="2"/>
  <c r="H180" i="2" s="1"/>
  <c r="H173" i="2"/>
  <c r="G14" i="6" s="1"/>
  <c r="H132" i="2"/>
  <c r="H185" i="2" s="1"/>
  <c r="H5" i="2"/>
  <c r="H49" i="4"/>
  <c r="H24" i="2"/>
  <c r="I5" i="2" l="1"/>
  <c r="I39" i="2"/>
  <c r="I107" i="2"/>
  <c r="I180" i="2" s="1"/>
  <c r="I22" i="2"/>
  <c r="I202" i="2"/>
  <c r="I5" i="4"/>
  <c r="I14" i="2"/>
  <c r="I71" i="4"/>
  <c r="I16" i="2"/>
  <c r="I49" i="4"/>
  <c r="I24" i="2"/>
  <c r="I53" i="2"/>
  <c r="I121" i="2"/>
  <c r="I183" i="2" s="1"/>
  <c r="I28" i="2"/>
  <c r="I111" i="2"/>
  <c r="I55" i="2"/>
  <c r="I173" i="2"/>
  <c r="H14" i="6" s="1"/>
  <c r="I105" i="2"/>
  <c r="I179" i="2" s="1"/>
  <c r="I7" i="5"/>
  <c r="I132" i="2"/>
  <c r="I185" i="2" s="1"/>
  <c r="H4" i="6"/>
  <c r="H5" i="6" s="1"/>
  <c r="I12" i="2"/>
  <c r="H18" i="5"/>
  <c r="H15" i="5"/>
  <c r="H9" i="5" s="1"/>
  <c r="H8" i="5" s="1"/>
  <c r="H10" i="5"/>
  <c r="H12" i="5"/>
  <c r="H16" i="5"/>
  <c r="H182" i="2"/>
  <c r="I6" i="2"/>
  <c r="I8" i="2" s="1"/>
  <c r="I35" i="3"/>
  <c r="H79" i="4"/>
  <c r="H84" i="4" s="1"/>
  <c r="I79" i="4"/>
  <c r="J79" i="4"/>
  <c r="K79" i="4"/>
  <c r="L79" i="4"/>
  <c r="H151" i="2"/>
  <c r="I151" i="2" s="1"/>
  <c r="J13" i="4"/>
  <c r="K13" i="4"/>
  <c r="L13" i="4"/>
  <c r="I13" i="4"/>
  <c r="H13" i="4"/>
  <c r="H18" i="4" s="1"/>
  <c r="H31" i="4"/>
  <c r="H36" i="4" s="1"/>
  <c r="L33" i="3"/>
  <c r="L28" i="3"/>
  <c r="L6" i="3"/>
  <c r="L24" i="3"/>
  <c r="L10" i="3"/>
  <c r="L4" i="2"/>
  <c r="K34" i="3"/>
  <c r="K19" i="3"/>
  <c r="J35" i="3"/>
  <c r="J6" i="2"/>
  <c r="J8" i="2" s="1"/>
  <c r="J57" i="4"/>
  <c r="L57" i="4"/>
  <c r="K57" i="4"/>
  <c r="H57" i="4"/>
  <c r="H62" i="4" s="1"/>
  <c r="I57" i="4"/>
  <c r="H128" i="2"/>
  <c r="H184" i="2" s="1"/>
  <c r="H7" i="2"/>
  <c r="H109" i="2"/>
  <c r="H181" i="2" s="1"/>
  <c r="K10" i="3"/>
  <c r="K28" i="3"/>
  <c r="K24" i="3"/>
  <c r="K6" i="3"/>
  <c r="K33" i="3"/>
  <c r="K4" i="2"/>
  <c r="H8" i="2"/>
  <c r="J111" i="2"/>
  <c r="J5" i="2"/>
  <c r="J14" i="2"/>
  <c r="J39" i="2"/>
  <c r="J107" i="2"/>
  <c r="J22" i="2"/>
  <c r="J132" i="2"/>
  <c r="J5" i="4"/>
  <c r="J49" i="4"/>
  <c r="J24" i="2"/>
  <c r="J53" i="2"/>
  <c r="J71" i="4"/>
  <c r="J202" i="2"/>
  <c r="J121" i="2"/>
  <c r="J173" i="2"/>
  <c r="I14" i="6" s="1"/>
  <c r="J55" i="2"/>
  <c r="J28" i="2"/>
  <c r="J12" i="2"/>
  <c r="J105" i="2"/>
  <c r="J7" i="5"/>
  <c r="I4" i="6"/>
  <c r="J16" i="2"/>
  <c r="L34" i="3"/>
  <c r="L19" i="3"/>
  <c r="K20" i="3"/>
  <c r="K21" i="3" s="1"/>
  <c r="J180" i="2" l="1"/>
  <c r="J183" i="2"/>
  <c r="H37" i="4"/>
  <c r="H39" i="4" s="1"/>
  <c r="H41" i="4" s="1"/>
  <c r="H146" i="2" s="1"/>
  <c r="J151" i="2"/>
  <c r="I9" i="2"/>
  <c r="I58" i="4"/>
  <c r="J58" i="4"/>
  <c r="K58" i="4"/>
  <c r="L58" i="4"/>
  <c r="I62" i="4"/>
  <c r="J81" i="4"/>
  <c r="K81" i="4"/>
  <c r="L81" i="4"/>
  <c r="L35" i="3"/>
  <c r="L6" i="2"/>
  <c r="L8" i="2" s="1"/>
  <c r="H63" i="4"/>
  <c r="H26" i="2"/>
  <c r="J182" i="2"/>
  <c r="H9" i="2"/>
  <c r="I80" i="4"/>
  <c r="I84" i="4" s="1"/>
  <c r="J80" i="4"/>
  <c r="K80" i="4"/>
  <c r="L80" i="4"/>
  <c r="J9" i="2"/>
  <c r="K105" i="2"/>
  <c r="K179" i="2" s="1"/>
  <c r="K132" i="2"/>
  <c r="K185" i="2" s="1"/>
  <c r="K111" i="2"/>
  <c r="K14" i="2"/>
  <c r="K49" i="4"/>
  <c r="K39" i="2"/>
  <c r="K5" i="4"/>
  <c r="K16" i="2"/>
  <c r="K24" i="2"/>
  <c r="K53" i="2"/>
  <c r="K55" i="2"/>
  <c r="K173" i="2"/>
  <c r="J14" i="6" s="1"/>
  <c r="K22" i="2"/>
  <c r="K107" i="2"/>
  <c r="K180" i="2" s="1"/>
  <c r="J4" i="6"/>
  <c r="J5" i="6" s="1"/>
  <c r="K202" i="2"/>
  <c r="K12" i="2"/>
  <c r="K121" i="2"/>
  <c r="K183" i="2" s="1"/>
  <c r="K28" i="2"/>
  <c r="K7" i="5"/>
  <c r="K5" i="2"/>
  <c r="K71" i="4"/>
  <c r="J128" i="2"/>
  <c r="J7" i="2"/>
  <c r="J109" i="2"/>
  <c r="H85" i="4"/>
  <c r="H20" i="2"/>
  <c r="I32" i="4"/>
  <c r="J32" i="4" s="1"/>
  <c r="K32" i="4" s="1"/>
  <c r="I14" i="4"/>
  <c r="I18" i="4" s="1"/>
  <c r="J14" i="4"/>
  <c r="K14" i="4"/>
  <c r="L14" i="4"/>
  <c r="I12" i="5"/>
  <c r="I18" i="5"/>
  <c r="I16" i="5"/>
  <c r="I10" i="5"/>
  <c r="I15" i="5"/>
  <c r="I9" i="5" s="1"/>
  <c r="I8" i="5" s="1"/>
  <c r="K35" i="3"/>
  <c r="K6" i="2"/>
  <c r="J59" i="4"/>
  <c r="L59" i="4"/>
  <c r="K59" i="4"/>
  <c r="K4" i="6"/>
  <c r="L12" i="2"/>
  <c r="L105" i="2"/>
  <c r="L132" i="2"/>
  <c r="L5" i="2"/>
  <c r="L14" i="2"/>
  <c r="L55" i="2"/>
  <c r="L39" i="2"/>
  <c r="L49" i="4"/>
  <c r="L61" i="4" s="1"/>
  <c r="L71" i="4"/>
  <c r="L83" i="4" s="1"/>
  <c r="L5" i="4"/>
  <c r="L16" i="2"/>
  <c r="L173" i="2"/>
  <c r="K14" i="6" s="1"/>
  <c r="L202" i="2"/>
  <c r="L121" i="2"/>
  <c r="L107" i="2"/>
  <c r="L24" i="2"/>
  <c r="L53" i="2"/>
  <c r="L111" i="2"/>
  <c r="L7" i="5"/>
  <c r="L22" i="2"/>
  <c r="L28" i="2"/>
  <c r="I5" i="6"/>
  <c r="J33" i="4"/>
  <c r="K33" i="4" s="1"/>
  <c r="L33" i="4" s="1"/>
  <c r="J15" i="4"/>
  <c r="K15" i="4"/>
  <c r="L15" i="4"/>
  <c r="J12" i="5"/>
  <c r="J16" i="5"/>
  <c r="J18" i="5"/>
  <c r="J10" i="5"/>
  <c r="J15" i="5"/>
  <c r="J9" i="5" s="1"/>
  <c r="J8" i="5" s="1"/>
  <c r="J185" i="2"/>
  <c r="I182" i="2"/>
  <c r="I31" i="4"/>
  <c r="J31" i="4" s="1"/>
  <c r="H19" i="4"/>
  <c r="H18" i="2"/>
  <c r="I7" i="2"/>
  <c r="I109" i="2"/>
  <c r="I181" i="2" s="1"/>
  <c r="I128" i="2"/>
  <c r="I184" i="2" s="1"/>
  <c r="J179" i="2"/>
  <c r="J84" i="4" l="1"/>
  <c r="H40" i="4"/>
  <c r="J62" i="4"/>
  <c r="J26" i="2" s="1"/>
  <c r="J18" i="4"/>
  <c r="J19" i="4" s="1"/>
  <c r="H87" i="4"/>
  <c r="J181" i="2"/>
  <c r="L32" i="4"/>
  <c r="J184" i="2"/>
  <c r="K151" i="2"/>
  <c r="L151" i="2" s="1"/>
  <c r="L183" i="2"/>
  <c r="J36" i="4"/>
  <c r="J85" i="4"/>
  <c r="J20" i="2"/>
  <c r="J21" i="2" s="1"/>
  <c r="L12" i="5"/>
  <c r="L18" i="5"/>
  <c r="L16" i="5"/>
  <c r="L15" i="5"/>
  <c r="L9" i="5" s="1"/>
  <c r="L8" i="5" s="1"/>
  <c r="L10" i="5"/>
  <c r="I85" i="4"/>
  <c r="I20" i="2"/>
  <c r="I21" i="2" s="1"/>
  <c r="G13" i="6"/>
  <c r="H19" i="2"/>
  <c r="H171" i="2"/>
  <c r="H31" i="2"/>
  <c r="H117" i="2"/>
  <c r="L185" i="2"/>
  <c r="I26" i="2"/>
  <c r="I63" i="4"/>
  <c r="H172" i="2"/>
  <c r="L9" i="2"/>
  <c r="K5" i="6"/>
  <c r="L82" i="4"/>
  <c r="L84" i="4" s="1"/>
  <c r="K82" i="4"/>
  <c r="K84" i="4" s="1"/>
  <c r="H27" i="2"/>
  <c r="H170" i="2"/>
  <c r="H195" i="2"/>
  <c r="K128" i="2"/>
  <c r="K184" i="2" s="1"/>
  <c r="K7" i="2"/>
  <c r="K109" i="2"/>
  <c r="K181" i="2" s="1"/>
  <c r="L182" i="2"/>
  <c r="K34" i="4"/>
  <c r="L34" i="4" s="1"/>
  <c r="K16" i="4"/>
  <c r="K18" i="4" s="1"/>
  <c r="L16" i="4"/>
  <c r="H21" i="2"/>
  <c r="H116" i="2"/>
  <c r="L180" i="2"/>
  <c r="L179" i="2"/>
  <c r="L60" i="4"/>
  <c r="L62" i="4" s="1"/>
  <c r="K60" i="4"/>
  <c r="K62" i="4" s="1"/>
  <c r="L109" i="2"/>
  <c r="L7" i="2"/>
  <c r="L128" i="2"/>
  <c r="I36" i="4"/>
  <c r="I37" i="4" s="1"/>
  <c r="I39" i="4" s="1"/>
  <c r="K31" i="4"/>
  <c r="K18" i="5"/>
  <c r="K16" i="5"/>
  <c r="K10" i="5"/>
  <c r="K15" i="5"/>
  <c r="K9" i="5" s="1"/>
  <c r="K8" i="5" s="1"/>
  <c r="K12" i="5"/>
  <c r="L35" i="4"/>
  <c r="L17" i="4"/>
  <c r="I19" i="4"/>
  <c r="I18" i="2"/>
  <c r="K8" i="2"/>
  <c r="K182" i="2"/>
  <c r="J63" i="4" l="1"/>
  <c r="J87" i="4" s="1"/>
  <c r="J18" i="2"/>
  <c r="I13" i="6" s="1"/>
  <c r="J37" i="4"/>
  <c r="J39" i="4" s="1"/>
  <c r="J40" i="4" s="1"/>
  <c r="K36" i="4"/>
  <c r="K37" i="4" s="1"/>
  <c r="K39" i="4" s="1"/>
  <c r="K40" i="4" s="1"/>
  <c r="L18" i="4"/>
  <c r="L18" i="2" s="1"/>
  <c r="K20" i="2"/>
  <c r="K21" i="2" s="1"/>
  <c r="K85" i="4"/>
  <c r="L19" i="4"/>
  <c r="H33" i="2"/>
  <c r="H34" i="2" s="1"/>
  <c r="H35" i="2" s="1"/>
  <c r="H38" i="2"/>
  <c r="H47" i="2" s="1"/>
  <c r="H141" i="2"/>
  <c r="H130" i="2"/>
  <c r="I116" i="2"/>
  <c r="I27" i="2"/>
  <c r="I170" i="2"/>
  <c r="I195" i="2"/>
  <c r="I117" i="2"/>
  <c r="H194" i="2"/>
  <c r="K9" i="2"/>
  <c r="K18" i="2"/>
  <c r="K19" i="4"/>
  <c r="L20" i="2"/>
  <c r="L21" i="2" s="1"/>
  <c r="L85" i="4"/>
  <c r="L184" i="2"/>
  <c r="J171" i="2"/>
  <c r="J31" i="2"/>
  <c r="H13" i="6"/>
  <c r="I19" i="2"/>
  <c r="I171" i="2"/>
  <c r="I31" i="2"/>
  <c r="H91" i="4"/>
  <c r="L181" i="2"/>
  <c r="J27" i="2"/>
  <c r="J170" i="2"/>
  <c r="J195" i="2"/>
  <c r="L31" i="4"/>
  <c r="L36" i="4" s="1"/>
  <c r="L37" i="4" s="1"/>
  <c r="L39" i="4" s="1"/>
  <c r="I41" i="4"/>
  <c r="I146" i="2" s="1"/>
  <c r="I40" i="4"/>
  <c r="K63" i="4"/>
  <c r="K26" i="2"/>
  <c r="L26" i="2"/>
  <c r="L63" i="4"/>
  <c r="I87" i="4"/>
  <c r="J41" i="4" l="1"/>
  <c r="J146" i="2" s="1"/>
  <c r="J172" i="2" s="1"/>
  <c r="J19" i="2"/>
  <c r="J91" i="4" s="1"/>
  <c r="L87" i="4"/>
  <c r="K41" i="4"/>
  <c r="K146" i="2" s="1"/>
  <c r="I172" i="2"/>
  <c r="I141" i="2"/>
  <c r="L40" i="4"/>
  <c r="L41" i="4"/>
  <c r="L146" i="2" s="1"/>
  <c r="L27" i="2"/>
  <c r="L195" i="2"/>
  <c r="L170" i="2"/>
  <c r="I130" i="2"/>
  <c r="J116" i="2"/>
  <c r="I206" i="2"/>
  <c r="I209" i="2" s="1"/>
  <c r="H126" i="2"/>
  <c r="H127" i="2" s="1"/>
  <c r="G7" i="6"/>
  <c r="G9" i="6" s="1"/>
  <c r="H41" i="2"/>
  <c r="K171" i="2"/>
  <c r="J13" i="6"/>
  <c r="K19" i="2"/>
  <c r="K31" i="2"/>
  <c r="K13" i="6"/>
  <c r="L19" i="2"/>
  <c r="L171" i="2"/>
  <c r="L31" i="2"/>
  <c r="I38" i="2"/>
  <c r="I47" i="2" s="1"/>
  <c r="I33" i="2"/>
  <c r="I34" i="2" s="1"/>
  <c r="I35" i="2" s="1"/>
  <c r="K87" i="4"/>
  <c r="K27" i="2"/>
  <c r="K170" i="2"/>
  <c r="K195" i="2"/>
  <c r="I91" i="4"/>
  <c r="G19" i="6"/>
  <c r="H199" i="2"/>
  <c r="J117" i="2"/>
  <c r="I194" i="2"/>
  <c r="J33" i="2"/>
  <c r="J34" i="2" s="1"/>
  <c r="J35" i="2" s="1"/>
  <c r="J38" i="2"/>
  <c r="J47" i="2" s="1"/>
  <c r="K172" i="2" l="1"/>
  <c r="L91" i="4"/>
  <c r="K91" i="4"/>
  <c r="J141" i="2"/>
  <c r="I199" i="2"/>
  <c r="H19" i="6"/>
  <c r="J194" i="2"/>
  <c r="K117" i="2"/>
  <c r="J206" i="2"/>
  <c r="J209" i="2" s="1"/>
  <c r="I126" i="2"/>
  <c r="I127" i="2" s="1"/>
  <c r="K38" i="2"/>
  <c r="K47" i="2" s="1"/>
  <c r="K33" i="2"/>
  <c r="K34" i="2" s="1"/>
  <c r="K35" i="2" s="1"/>
  <c r="L172" i="2"/>
  <c r="G28" i="6"/>
  <c r="H7" i="6"/>
  <c r="H9" i="6" s="1"/>
  <c r="I41" i="2"/>
  <c r="L38" i="2"/>
  <c r="L47" i="2" s="1"/>
  <c r="L33" i="2"/>
  <c r="L34" i="2" s="1"/>
  <c r="L35" i="2" s="1"/>
  <c r="I7" i="6"/>
  <c r="I9" i="6" s="1"/>
  <c r="J41" i="2"/>
  <c r="K116" i="2"/>
  <c r="J130" i="2"/>
  <c r="H44" i="2" l="1"/>
  <c r="H46" i="2" s="1"/>
  <c r="K206" i="2"/>
  <c r="K209" i="2" s="1"/>
  <c r="J126" i="2"/>
  <c r="J127" i="2" s="1"/>
  <c r="K130" i="2"/>
  <c r="L116" i="2"/>
  <c r="L130" i="2" s="1"/>
  <c r="J7" i="6"/>
  <c r="K41" i="2"/>
  <c r="I28" i="6"/>
  <c r="K7" i="6"/>
  <c r="L41" i="2"/>
  <c r="K141" i="2"/>
  <c r="L117" i="2"/>
  <c r="L194" i="2" s="1"/>
  <c r="K194" i="2"/>
  <c r="H28" i="6"/>
  <c r="H29" i="6" s="1"/>
  <c r="J199" i="2"/>
  <c r="I19" i="6"/>
  <c r="I29" i="6" l="1"/>
  <c r="K28" i="6"/>
  <c r="J28" i="6"/>
  <c r="J29" i="6" s="1"/>
  <c r="J44" i="2"/>
  <c r="J46" i="2" s="1"/>
  <c r="K199" i="2"/>
  <c r="J19" i="6"/>
  <c r="L206" i="2"/>
  <c r="L209" i="2" s="1"/>
  <c r="K126" i="2"/>
  <c r="K127" i="2" s="1"/>
  <c r="L199" i="2"/>
  <c r="K19" i="6"/>
  <c r="I44" i="2"/>
  <c r="I46" i="2" s="1"/>
  <c r="G11" i="6"/>
  <c r="H36" i="2"/>
  <c r="H49" i="2"/>
  <c r="L141" i="2"/>
  <c r="L126" i="2" s="1"/>
  <c r="L127" i="2" s="1"/>
  <c r="I11" i="6" l="1"/>
  <c r="J36" i="2"/>
  <c r="J49" i="2"/>
  <c r="K9" i="6"/>
  <c r="L44" i="2"/>
  <c r="L46" i="2" s="1"/>
  <c r="H58" i="2"/>
  <c r="H154" i="2" s="1"/>
  <c r="H61" i="2"/>
  <c r="H62" i="2" s="1"/>
  <c r="H167" i="2"/>
  <c r="H177" i="2" s="1"/>
  <c r="H11" i="6"/>
  <c r="I36" i="2"/>
  <c r="I49" i="2"/>
  <c r="K44" i="2"/>
  <c r="K46" i="2" s="1"/>
  <c r="J9" i="6"/>
  <c r="K29" i="6"/>
  <c r="K11" i="6" l="1"/>
  <c r="L36" i="2"/>
  <c r="L49" i="2"/>
  <c r="J11" i="6"/>
  <c r="K36" i="2"/>
  <c r="K49" i="2"/>
  <c r="I58" i="2"/>
  <c r="I154" i="2" s="1"/>
  <c r="I167" i="2"/>
  <c r="I177" i="2" s="1"/>
  <c r="I61" i="2"/>
  <c r="I62" i="2" s="1"/>
  <c r="H155" i="2"/>
  <c r="J167" i="2"/>
  <c r="J177" i="2" s="1"/>
  <c r="J58" i="2"/>
  <c r="J62" i="2"/>
  <c r="J61" i="2"/>
  <c r="I155" i="2" l="1"/>
  <c r="J154" i="2"/>
  <c r="L62" i="2"/>
  <c r="L58" i="2"/>
  <c r="L167" i="2"/>
  <c r="L177" i="2" s="1"/>
  <c r="L61" i="2"/>
  <c r="K58" i="2"/>
  <c r="K167" i="2"/>
  <c r="K177" i="2" s="1"/>
  <c r="K62" i="2"/>
  <c r="K61" i="2"/>
  <c r="J155" i="2" l="1"/>
  <c r="K154" i="2"/>
  <c r="L154" i="2" l="1"/>
  <c r="L155" i="2" s="1"/>
  <c r="K155" i="2"/>
  <c r="P8" i="6"/>
  <c r="P9" i="6"/>
  <c r="P11" i="6"/>
  <c r="P12" i="6"/>
  <c r="P14" i="6"/>
  <c r="G16" i="6"/>
  <c r="H16" i="6"/>
  <c r="I16" i="6"/>
  <c r="J16" i="6"/>
  <c r="K16" i="6"/>
  <c r="P20" i="6"/>
  <c r="G21" i="6"/>
  <c r="H21" i="6"/>
  <c r="I21" i="6"/>
  <c r="J21" i="6"/>
  <c r="K21" i="6"/>
  <c r="G22" i="6"/>
  <c r="H22" i="6"/>
  <c r="I22" i="6"/>
  <c r="J22" i="6"/>
  <c r="K22" i="6"/>
  <c r="P24" i="6"/>
  <c r="H27" i="6"/>
  <c r="I27" i="6"/>
  <c r="J27" i="6"/>
  <c r="K27" i="6"/>
  <c r="O33" i="6"/>
  <c r="C34" i="6"/>
  <c r="E3" i="8"/>
  <c r="F3" i="8"/>
  <c r="E10" i="8"/>
  <c r="F10" i="8"/>
  <c r="E18" i="8"/>
  <c r="F18" i="8"/>
  <c r="E25" i="8"/>
  <c r="F25" i="8"/>
  <c r="H103" i="2"/>
  <c r="I103" i="2"/>
  <c r="J103" i="2"/>
  <c r="K103" i="2"/>
  <c r="L103" i="2"/>
  <c r="H104" i="2"/>
  <c r="I104" i="2"/>
  <c r="J104" i="2"/>
  <c r="K104" i="2"/>
  <c r="L104" i="2"/>
  <c r="H113" i="2"/>
  <c r="I113" i="2"/>
  <c r="J113" i="2"/>
  <c r="K113" i="2"/>
  <c r="L113" i="2"/>
  <c r="H120" i="2"/>
  <c r="I120" i="2"/>
  <c r="J120" i="2"/>
  <c r="K120" i="2"/>
  <c r="L120" i="2"/>
  <c r="H124" i="2"/>
  <c r="I124" i="2"/>
  <c r="J124" i="2"/>
  <c r="K124" i="2"/>
  <c r="L124" i="2"/>
  <c r="H134" i="2"/>
  <c r="I134" i="2"/>
  <c r="J134" i="2"/>
  <c r="K134" i="2"/>
  <c r="L134" i="2"/>
  <c r="H136" i="2"/>
  <c r="I136" i="2"/>
  <c r="J136" i="2"/>
  <c r="K136" i="2"/>
  <c r="L136" i="2"/>
  <c r="H139" i="2"/>
  <c r="I139" i="2"/>
  <c r="J139" i="2"/>
  <c r="K139" i="2"/>
  <c r="L139" i="2"/>
  <c r="H144" i="2"/>
  <c r="I144" i="2"/>
  <c r="J144" i="2"/>
  <c r="K144" i="2"/>
  <c r="L144" i="2"/>
  <c r="H147" i="2"/>
  <c r="I147" i="2"/>
  <c r="J147" i="2"/>
  <c r="K147" i="2"/>
  <c r="L147" i="2"/>
  <c r="H148" i="2"/>
  <c r="I148" i="2"/>
  <c r="J148" i="2"/>
  <c r="K148" i="2"/>
  <c r="L148" i="2"/>
  <c r="H157" i="2"/>
  <c r="I157" i="2"/>
  <c r="J157" i="2"/>
  <c r="K157" i="2"/>
  <c r="L157" i="2"/>
  <c r="H159" i="2"/>
  <c r="I159" i="2"/>
  <c r="J159" i="2"/>
  <c r="K159" i="2"/>
  <c r="L159" i="2"/>
  <c r="H160" i="2"/>
  <c r="I160" i="2"/>
  <c r="J160" i="2"/>
  <c r="K160" i="2"/>
  <c r="L160" i="2"/>
  <c r="H186" i="2"/>
  <c r="I186" i="2"/>
  <c r="J186" i="2"/>
  <c r="K186" i="2"/>
  <c r="L186" i="2"/>
  <c r="H187" i="2"/>
  <c r="I187" i="2"/>
  <c r="J187" i="2"/>
  <c r="K187" i="2"/>
  <c r="L187" i="2"/>
  <c r="H188" i="2"/>
  <c r="I188" i="2"/>
  <c r="J188" i="2"/>
  <c r="K188" i="2"/>
  <c r="L188" i="2"/>
  <c r="H191" i="2"/>
  <c r="I191" i="2"/>
  <c r="J191" i="2"/>
  <c r="K191" i="2"/>
  <c r="L191" i="2"/>
  <c r="H211" i="2"/>
  <c r="I211" i="2"/>
  <c r="J211" i="2"/>
  <c r="K211" i="2"/>
  <c r="L211" i="2"/>
  <c r="I212" i="2"/>
  <c r="J212" i="2"/>
  <c r="K212" i="2"/>
  <c r="L212" i="2"/>
  <c r="H213" i="2"/>
  <c r="I213" i="2"/>
  <c r="J213" i="2"/>
  <c r="K213" i="2"/>
  <c r="L213" i="2"/>
  <c r="H215" i="2"/>
  <c r="I215" i="2"/>
  <c r="J215" i="2"/>
  <c r="K215" i="2"/>
  <c r="L2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Tseten Sherpa</author>
  </authors>
  <commentList>
    <comment ref="H13" authorId="0" shapeId="0" xr:uid="{B8016B81-2BA4-496F-8BD7-95382DBD13BB}">
      <text>
        <r>
          <rPr>
            <b/>
            <sz val="9"/>
            <color indexed="81"/>
            <rFont val="Tahoma"/>
            <family val="2"/>
          </rPr>
          <t>Tseten Sherpa:</t>
        </r>
        <r>
          <rPr>
            <sz val="9"/>
            <color indexed="81"/>
            <rFont val="Tahoma"/>
            <family val="2"/>
          </rPr>
          <t xml:space="preserve">
G&amp;A is overhead that supports the business but doesn't directly drive growth.</t>
        </r>
      </text>
    </comment>
    <comment ref="H15" authorId="0" shapeId="0" xr:uid="{2C534579-F1C5-4217-9F20-F4B20BFFC6E7}">
      <text>
        <r>
          <rPr>
            <b/>
            <sz val="9"/>
            <color indexed="81"/>
            <rFont val="Tahoma"/>
            <family val="2"/>
          </rPr>
          <t>Tseten Sherpa:</t>
        </r>
        <r>
          <rPr>
            <sz val="9"/>
            <color indexed="81"/>
            <rFont val="Tahoma"/>
            <family val="2"/>
          </rPr>
          <t xml:space="preserve">
Management guided +35% R&amp;D spend increase for FY2026</t>
        </r>
      </text>
    </comment>
    <comment ref="H17" authorId="0" shapeId="0" xr:uid="{CFBE4803-1321-43AD-AC89-E62A68E51B3D}">
      <text>
        <r>
          <rPr>
            <b/>
            <sz val="9"/>
            <color indexed="81"/>
            <rFont val="Tahoma"/>
            <family val="2"/>
          </rPr>
          <t>Tseten Sherpa:</t>
        </r>
        <r>
          <rPr>
            <sz val="9"/>
            <color indexed="81"/>
            <rFont val="Tahoma"/>
            <family val="2"/>
          </rPr>
          <t xml:space="preserve">
Hiring 150 reps, field sales buildout, local marketing expansion</t>
        </r>
      </text>
    </comment>
    <comment ref="I17" authorId="0" shapeId="0" xr:uid="{F886E318-0325-4271-BFED-981365E073B3}">
      <text>
        <r>
          <rPr>
            <b/>
            <sz val="9"/>
            <color indexed="81"/>
            <rFont val="Tahoma"/>
            <family val="2"/>
          </rPr>
          <t>Tseten Sherpa:</t>
        </r>
        <r>
          <rPr>
            <sz val="9"/>
            <color indexed="81"/>
            <rFont val="Tahoma"/>
            <family val="2"/>
          </rPr>
          <t xml:space="preserve">
Reps productive but still scaling; some continued hiring</t>
        </r>
      </text>
    </comment>
    <comment ref="J17" authorId="0" shapeId="0" xr:uid="{E97DE991-A9CA-4913-A703-DE915503D7CA}">
      <text>
        <r>
          <rPr>
            <b/>
            <sz val="9"/>
            <color indexed="81"/>
            <rFont val="Tahoma"/>
            <family val="2"/>
          </rPr>
          <t>Tseten Sherpa:</t>
        </r>
        <r>
          <rPr>
            <sz val="9"/>
            <color indexed="81"/>
            <rFont val="Tahoma"/>
            <family val="2"/>
          </rPr>
          <t xml:space="preserve">
Reps fully productive; revenue scales faster than headcount</t>
        </r>
      </text>
    </comment>
    <comment ref="B34" authorId="0" shapeId="0" xr:uid="{0E349FCE-85BC-40CF-99FC-0F5860B857E7}">
      <text>
        <r>
          <rPr>
            <b/>
            <sz val="9"/>
            <color indexed="81"/>
            <rFont val="Tahoma"/>
            <family val="2"/>
          </rPr>
          <t>Tseten Sherpa:</t>
        </r>
        <r>
          <rPr>
            <sz val="9"/>
            <color indexed="81"/>
            <rFont val="Tahoma"/>
            <family val="2"/>
          </rPr>
          <t xml:space="preserve">
Adj. EBITDA = EBITDA + SBC + Restructuring + Acq Comp + FX Loss + Goodwill Imp</t>
        </r>
      </text>
    </comment>
    <comment ref="B47" authorId="0" shapeId="0" xr:uid="{78E56F81-79B9-4012-AE9D-5D063B75BF4B}">
      <text>
        <r>
          <rPr>
            <b/>
            <sz val="9"/>
            <color indexed="81"/>
            <rFont val="Tahoma"/>
            <family val="2"/>
          </rPr>
          <t>Tseten Sherpa:</t>
        </r>
        <r>
          <rPr>
            <sz val="9"/>
            <color indexed="81"/>
            <rFont val="Tahoma"/>
            <family val="2"/>
          </rPr>
          <t xml:space="preserve">
federal + provincal tax rate (Montreal)
"Tax expense = $0 while in loss position; 26.5% statutory rate applies when profitable, offset by NOL carryforwards"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Tseten Sherpa</author>
  </authors>
  <commentList>
    <comment ref="H32" authorId="0" shapeId="0" xr:uid="{00000000-0006-0000-0100-000002000000}">
      <text>
        <r>
          <rPr>
            <b/>
            <sz val="9"/>
            <color rgb="FF000000"/>
            <rFont val="Tahoma"/>
            <family val="2"/>
          </rPr>
          <t>Tseten Sherpa:</t>
        </r>
        <r>
          <rPr>
            <sz val="9"/>
            <color rgb="FF000000"/>
            <rFont val="Tahoma"/>
            <family val="2"/>
          </rPr>
          <t xml:space="preserve">
Management Guidance|
$1,206,050</t>
        </r>
      </text>
    </comment>
    <comment ref="B41" authorId="0" shapeId="0" xr:uid="{00000000-0006-0000-0100-000003000000}">
      <text>
        <r>
          <rPr>
            <b/>
            <sz val="9"/>
            <rFont val="Tahoma"/>
            <family val="2"/>
          </rPr>
          <t>Tseten Sherpa:</t>
        </r>
        <r>
          <rPr>
            <sz val="9"/>
            <rFont val="Tahoma"/>
            <family val="2"/>
          </rPr>
          <t xml:space="preserve">
Rationale
- Compression slows as mix stabilizes (GPV approaching 60%+ of GTV)
- Rate converges to ~1.75% (pure LP rate) as third-party referrals approach zero
- Terminal rate reflects Lightspeed Payments economics minus volume discounts</t>
        </r>
      </text>
    </comment>
    <comment ref="B46" authorId="0" shapeId="0" xr:uid="{00000000-0006-0000-0100-000004000000}">
      <text>
        <r>
          <rPr>
            <b/>
            <sz val="9"/>
            <rFont val="Tahoma"/>
            <family val="2"/>
          </rPr>
          <t>Tseten Sherpa:</t>
        </r>
        <r>
          <rPr>
            <sz val="9"/>
            <rFont val="Tahoma"/>
            <family val="2"/>
          </rPr>
          <t xml:space="preserve">
Management Guidance (from Q2 call)
Customer Location growth of ~10-15% CAGR between Fiscal 2025 and Fiscal 2028 in our two growth engines — retail customers in North America and hospitality customers in Europe</t>
        </r>
      </text>
    </comment>
    <comment ref="D47" authorId="0" shapeId="0" xr:uid="{6DCB6A63-CC33-4ECE-85D8-457BA1434819}">
      <text>
        <r>
          <rPr>
            <b/>
            <sz val="9"/>
            <rFont val="Tahoma"/>
            <family val="2"/>
          </rPr>
          <t>Tseten Sherpa:</t>
        </r>
        <r>
          <rPr>
            <sz val="9"/>
            <rFont val="Tahoma"/>
            <family val="2"/>
          </rPr>
          <t xml:space="preserve">
Massive growth from acquisitions (Ecwid, NuORDER, Vend, etc.)</t>
        </r>
      </text>
    </comment>
    <comment ref="E47" authorId="0" shapeId="0" xr:uid="{CC91B42D-5B2D-422C-A9F5-112C58B7FDE2}">
      <text>
        <r>
          <rPr>
            <b/>
            <sz val="9"/>
            <color rgb="FF000000"/>
            <rFont val="Tahoma"/>
            <family val="2"/>
          </rPr>
          <t>Tseten Sherpa:</t>
        </r>
        <r>
          <rPr>
            <sz val="9"/>
            <color rgb="FF000000"/>
            <rFont val="Tahoma"/>
            <family val="2"/>
          </rPr>
          <t xml:space="preserve">
2023-2025: Deliberate churn of low-value customers as LSPD focuses on "sophisticated SMBs"</t>
        </r>
      </text>
    </comment>
    <comment ref="F48" authorId="0" shapeId="0" xr:uid="{00000000-0006-0000-0100-000006000000}">
      <text>
        <r>
          <rPr>
            <b/>
            <sz val="9"/>
            <color rgb="FF000000"/>
            <rFont val="Tahoma"/>
            <family val="2"/>
          </rPr>
          <t>Tseten Sherpa:</t>
        </r>
        <r>
          <rPr>
            <sz val="9"/>
            <color rgb="FF000000"/>
            <rFont val="Tahoma"/>
            <family val="2"/>
          </rPr>
          <t xml:space="preserve">
Distinction between physical sites and eCommerce sites has become less meaningful. As such, in respect of periods ending after March 31, 2025, Customer Locations will no longer be calculated to include eCommerce sites..."
"Under this new definition, Customer Locations as at March 31, 2025 were approximately 144,000 compared to approximately 146,000 as at March 31, 2024</t>
        </r>
      </text>
    </comment>
    <comment ref="B73" authorId="0" shapeId="0" xr:uid="{00000000-0006-0000-0100-000007000000}">
      <text>
        <r>
          <rPr>
            <b/>
            <sz val="9"/>
            <rFont val="Tahoma"/>
            <family val="2"/>
          </rPr>
          <t>Tseten Sherpa:</t>
        </r>
        <r>
          <rPr>
            <sz val="9"/>
            <rFont val="Tahoma"/>
            <family val="2"/>
          </rPr>
          <t xml:space="preserve">
penetration declining by 1% per a month</t>
        </r>
      </text>
    </comment>
    <comment ref="H73" authorId="0" shapeId="0" xr:uid="{00000000-0006-0000-0100-000008000000}">
      <text>
        <r>
          <rPr>
            <b/>
            <sz val="9"/>
            <color rgb="FF000000"/>
            <rFont val="Tahoma"/>
            <family val="2"/>
          </rPr>
          <t>Tseten Sherpa:</t>
        </r>
        <r>
          <rPr>
            <sz val="9"/>
            <color rgb="FF000000"/>
            <rFont val="Tahoma"/>
            <family val="2"/>
          </rPr>
          <t xml:space="preserve">
Tseten Sherpa:
Q2 FY2026 actual run-rate (43% at September, trending toward 46-47% by March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Tseten Sherpa</author>
  </authors>
  <commentList>
    <comment ref="A8" authorId="0" shapeId="0" xr:uid="{04F1AA91-E604-4480-988C-DB5105C900B3}">
      <text>
        <r>
          <rPr>
            <b/>
            <sz val="9"/>
            <color indexed="81"/>
            <rFont val="Tahoma"/>
            <family val="2"/>
          </rPr>
          <t>Tseten Sherpa:</t>
        </r>
        <r>
          <rPr>
            <sz val="9"/>
            <color indexed="81"/>
            <rFont val="Tahoma"/>
            <family val="2"/>
          </rPr>
          <t xml:space="preserve">
Basic share out used for comps</t>
        </r>
      </text>
    </comment>
    <comment ref="A10" authorId="0" shapeId="0" xr:uid="{BE59C075-40CA-4ACA-BBE5-4C679415796F}">
      <text>
        <r>
          <rPr>
            <b/>
            <sz val="9"/>
            <color indexed="81"/>
            <rFont val="Tahoma"/>
            <family val="2"/>
          </rPr>
          <t>Tseten Sherpa:</t>
        </r>
        <r>
          <rPr>
            <sz val="9"/>
            <color indexed="81"/>
            <rFont val="Tahoma"/>
            <family val="2"/>
          </rPr>
          <t xml:space="preserve">
Cash+ Marketable Securities</t>
        </r>
      </text>
    </comment>
  </commentList>
</comments>
</file>

<file path=xl/sharedStrings.xml><?xml version="1.0" encoding="utf-8"?>
<sst xmlns="http://schemas.openxmlformats.org/spreadsheetml/2006/main" count="1218" uniqueCount="636">
  <si>
    <t>x</t>
  </si>
  <si>
    <t>Standardized Consolidated Income Statements</t>
  </si>
  <si>
    <t>(in thousands of $USD except per share amounts)</t>
  </si>
  <si>
    <t>Actual</t>
  </si>
  <si>
    <t>Estimates</t>
  </si>
  <si>
    <t>Note Index</t>
  </si>
  <si>
    <t>FY Ending March 1</t>
  </si>
  <si>
    <t>2021A</t>
  </si>
  <si>
    <t>2022A</t>
  </si>
  <si>
    <t>2023A</t>
  </si>
  <si>
    <t>2024A</t>
  </si>
  <si>
    <t>2025A</t>
  </si>
  <si>
    <t>2026E</t>
  </si>
  <si>
    <t>2027E</t>
  </si>
  <si>
    <t>2028E</t>
  </si>
  <si>
    <t>2029E</t>
  </si>
  <si>
    <t>2030E</t>
  </si>
  <si>
    <t>Sales</t>
  </si>
  <si>
    <t>% Growth</t>
  </si>
  <si>
    <t>Cost of Goods Sold</t>
  </si>
  <si>
    <t>% of sales</t>
  </si>
  <si>
    <t>Gross Profit</t>
  </si>
  <si>
    <t>Gross Profit margin (%)</t>
  </si>
  <si>
    <t xml:space="preserve">Operating Expenses </t>
  </si>
  <si>
    <t xml:space="preserve">General &amp; Administrative </t>
  </si>
  <si>
    <t xml:space="preserve">General &amp; Administrative % of revenue </t>
  </si>
  <si>
    <t>Declining G&amp;A Expense</t>
  </si>
  <si>
    <t xml:space="preserve">R&amp;D </t>
  </si>
  <si>
    <t xml:space="preserve">R&amp;D % of revenue </t>
  </si>
  <si>
    <t>Declining R&amp;D expense, but uptick in 2026 due to investment in workers</t>
  </si>
  <si>
    <t xml:space="preserve">Sales &amp; Marketing </t>
  </si>
  <si>
    <t xml:space="preserve">Sales &amp; Marketing % of revenue </t>
  </si>
  <si>
    <t xml:space="preserve">Depreciation of PPE </t>
  </si>
  <si>
    <t xml:space="preserve">See depreciation schedule </t>
  </si>
  <si>
    <t>Depreciation % of revenue</t>
  </si>
  <si>
    <t xml:space="preserve">Depreciation of ROU Assets </t>
  </si>
  <si>
    <t xml:space="preserve">Foreign exchange loss (gain) </t>
  </si>
  <si>
    <t xml:space="preserve">Foreign exchange loss (gain) % of revenue </t>
  </si>
  <si>
    <t xml:space="preserve">Aquistion-related compensation </t>
  </si>
  <si>
    <t xml:space="preserve">% of revenue </t>
  </si>
  <si>
    <t xml:space="preserve">Amortization of Intangible Assets </t>
  </si>
  <si>
    <t xml:space="preserve">Amortization % of revenue </t>
  </si>
  <si>
    <t xml:space="preserve">Restructuring </t>
  </si>
  <si>
    <t xml:space="preserve">Goodwill Impairment </t>
  </si>
  <si>
    <t xml:space="preserve">No further Goodwill charges expected </t>
  </si>
  <si>
    <t xml:space="preserve">Total Operating Expenses </t>
  </si>
  <si>
    <t>EBITDA</t>
  </si>
  <si>
    <t xml:space="preserve">Adj. EBITDA </t>
  </si>
  <si>
    <t>Adj. EBITDA Margin</t>
  </si>
  <si>
    <t xml:space="preserve">Finance, Non-operating &amp; Taxes </t>
  </si>
  <si>
    <t>Operating Loss (EBIT)</t>
  </si>
  <si>
    <t>Net Interest Income (expense)</t>
  </si>
  <si>
    <t>Loss Before Income taxes (EBT)</t>
  </si>
  <si>
    <t xml:space="preserve">Income Tax Expense (Recovery) </t>
  </si>
  <si>
    <t xml:space="preserve">Current </t>
  </si>
  <si>
    <t xml:space="preserve">Deferred </t>
  </si>
  <si>
    <t>Assumes deferred taxes immaterial</t>
  </si>
  <si>
    <t xml:space="preserve">Total Income Tax Expense (Recovery) </t>
  </si>
  <si>
    <t>Effective Tax Rate</t>
  </si>
  <si>
    <t>Federal + provincial tax rate in Montreal</t>
  </si>
  <si>
    <t xml:space="preserve">Net Loss </t>
  </si>
  <si>
    <t xml:space="preserve">Other Comprehensive Income (OCI) </t>
  </si>
  <si>
    <t xml:space="preserve">Foreign Currency Differences </t>
  </si>
  <si>
    <t xml:space="preserve">Unrealized gain (loss) on cash flow hedging instruments </t>
  </si>
  <si>
    <t xml:space="preserve">Total Other Comprehensive Income (loss) </t>
  </si>
  <si>
    <t>Total Comprehensive Loss</t>
  </si>
  <si>
    <t>Earnings per share (EPS)</t>
  </si>
  <si>
    <t>Basic</t>
  </si>
  <si>
    <t>Diluted</t>
  </si>
  <si>
    <t>Average common shares outstanding</t>
  </si>
  <si>
    <t xml:space="preserve">   Basic</t>
  </si>
  <si>
    <t xml:space="preserve">   Diluted</t>
  </si>
  <si>
    <t xml:space="preserve">   Shares repurchased</t>
  </si>
  <si>
    <t>Calculation of Diluted Shares Outstanding</t>
  </si>
  <si>
    <t>Basic shares outstanding</t>
  </si>
  <si>
    <t>Plus: Shares from ITM options</t>
  </si>
  <si>
    <t>Less: Share repurchased under TSM</t>
  </si>
  <si>
    <t xml:space="preserve">Plus: Shares from RSUs </t>
  </si>
  <si>
    <t>Net new shares from options</t>
  </si>
  <si>
    <t>Fully diluted shares outstanding</t>
  </si>
  <si>
    <t>Options / Warrants</t>
  </si>
  <si>
    <t>No. of</t>
  </si>
  <si>
    <t>Exercise</t>
  </si>
  <si>
    <t>ITM</t>
  </si>
  <si>
    <t xml:space="preserve">Tranche (Note 25 in 2025 Annual Report) </t>
  </si>
  <si>
    <t>Shares</t>
  </si>
  <si>
    <t>Price</t>
  </si>
  <si>
    <t>Proceeds</t>
  </si>
  <si>
    <t>$2.17 to $12.82</t>
  </si>
  <si>
    <t>$12.83 to $14.19</t>
  </si>
  <si>
    <t>$14.20 to $20.93</t>
  </si>
  <si>
    <t>$20.94 to $30.75</t>
  </si>
  <si>
    <t>$30.76 to $93.45</t>
  </si>
  <si>
    <t>Total</t>
  </si>
  <si>
    <t>Current Price</t>
  </si>
  <si>
    <t xml:space="preserve">As of December 16, 2025 </t>
  </si>
  <si>
    <t xml:space="preserve">Weighted avg. </t>
  </si>
  <si>
    <t>Restricted Stock Units</t>
  </si>
  <si>
    <t xml:space="preserve">Fair Value </t>
  </si>
  <si>
    <t>RSU</t>
  </si>
  <si>
    <t xml:space="preserve">DSU </t>
  </si>
  <si>
    <t>Standardized Consolidated Balance Sheets</t>
  </si>
  <si>
    <t>(in thousands of $USD)</t>
  </si>
  <si>
    <t>Assets</t>
  </si>
  <si>
    <t>Current Assets</t>
  </si>
  <si>
    <t>Cash and cash equivalents</t>
  </si>
  <si>
    <t xml:space="preserve">% of total assets </t>
  </si>
  <si>
    <t>Accounts receivable</t>
  </si>
  <si>
    <t>Days Receivable</t>
  </si>
  <si>
    <t xml:space="preserve">Merchant Cash Advances </t>
  </si>
  <si>
    <t xml:space="preserve">% of sales </t>
  </si>
  <si>
    <t>Inventory</t>
  </si>
  <si>
    <t>Days Inventory</t>
  </si>
  <si>
    <t>Other Current Assets</t>
  </si>
  <si>
    <t>2021 outlier</t>
  </si>
  <si>
    <t xml:space="preserve">Total Current Assets </t>
  </si>
  <si>
    <t xml:space="preserve">Non-current Assets </t>
  </si>
  <si>
    <t xml:space="preserve">Lease ROU Assets </t>
  </si>
  <si>
    <t>The Company leases certain properties under non-cancellable lease agreements that relate to office spaces and vehicles. The remaining lease terms are between one and five years.</t>
  </si>
  <si>
    <t xml:space="preserve">Net PPE </t>
  </si>
  <si>
    <t xml:space="preserve">Intangible Assets </t>
  </si>
  <si>
    <t xml:space="preserve">Goodwill </t>
  </si>
  <si>
    <t>% of total assets</t>
  </si>
  <si>
    <t xml:space="preserve">Other Long-term assets </t>
  </si>
  <si>
    <t xml:space="preserve">Deferred Tax Assets </t>
  </si>
  <si>
    <t xml:space="preserve">Total Assets </t>
  </si>
  <si>
    <t xml:space="preserve">Liabilities </t>
  </si>
  <si>
    <t xml:space="preserve">Current Liabilities </t>
  </si>
  <si>
    <t xml:space="preserve">Accounts Payable and accrued liabilities </t>
  </si>
  <si>
    <t xml:space="preserve">Days Payable </t>
  </si>
  <si>
    <t xml:space="preserve">Lease Liabilities </t>
  </si>
  <si>
    <t xml:space="preserve">% of total lease liabilities </t>
  </si>
  <si>
    <t xml:space="preserve">Income taxes payable </t>
  </si>
  <si>
    <t xml:space="preserve">Deferred revenue </t>
  </si>
  <si>
    <t xml:space="preserve">% of total revenue </t>
  </si>
  <si>
    <t xml:space="preserve">Total Current Liabilities </t>
  </si>
  <si>
    <t xml:space="preserve">Non-current Liabilities </t>
  </si>
  <si>
    <t>% of total lease liabilities</t>
  </si>
  <si>
    <t xml:space="preserve">Long Term Debt </t>
  </si>
  <si>
    <t xml:space="preserve">Other Long-term Liabilities </t>
  </si>
  <si>
    <t xml:space="preserve">Deferred Tax Liabilities </t>
  </si>
  <si>
    <t xml:space="preserve">Total Liabilities </t>
  </si>
  <si>
    <t xml:space="preserve">Equity </t>
  </si>
  <si>
    <t xml:space="preserve">Share Capital </t>
  </si>
  <si>
    <t xml:space="preserve">Additional paid-in capital </t>
  </si>
  <si>
    <t>Accumulated other comprehensive income (loss)</t>
  </si>
  <si>
    <t xml:space="preserve">Accumulated deficit </t>
  </si>
  <si>
    <t xml:space="preserve">Total  Equity </t>
  </si>
  <si>
    <t xml:space="preserve">Total Liabilities &amp;  Equity </t>
  </si>
  <si>
    <t xml:space="preserve">Balances </t>
  </si>
  <si>
    <t xml:space="preserve">Check </t>
  </si>
  <si>
    <t>Standardized Consolidated Cash Flow Statement</t>
  </si>
  <si>
    <t>Operating Activities</t>
  </si>
  <si>
    <t xml:space="preserve">Net earnings (loss) </t>
  </si>
  <si>
    <t xml:space="preserve">Adjustments for: </t>
  </si>
  <si>
    <t xml:space="preserve">Share-based acquisition related compensation </t>
  </si>
  <si>
    <t>Assume no acquisition</t>
  </si>
  <si>
    <t>Y</t>
  </si>
  <si>
    <t xml:space="preserve">Amortization of intangible assets </t>
  </si>
  <si>
    <t xml:space="preserve">Depreciation of PPE &amp; Lease ROU assets </t>
  </si>
  <si>
    <t>Deferred income tax expense (recovery)</t>
  </si>
  <si>
    <t xml:space="preserve">Share-based compensation expense </t>
  </si>
  <si>
    <t>Review this and validate if over or understated</t>
  </si>
  <si>
    <t>% of revenue</t>
  </si>
  <si>
    <t>Reducing in SBC due to restructing unvested equity lost</t>
  </si>
  <si>
    <t>Unrealized foreign exchange loss (gain)</t>
  </si>
  <si>
    <t>Immaterial</t>
  </si>
  <si>
    <t xml:space="preserve">Goodwill impairment </t>
  </si>
  <si>
    <t>Unknown</t>
  </si>
  <si>
    <t xml:space="preserve">Changes in operating assets and liabilities </t>
  </si>
  <si>
    <t>(Increase) decrease in accounts receivables</t>
  </si>
  <si>
    <t xml:space="preserve">(Increase) decrease in merchant cash advances </t>
  </si>
  <si>
    <t xml:space="preserve">(Increase) decrease in inventories </t>
  </si>
  <si>
    <t xml:space="preserve">(Increase) decrease in other current assets </t>
  </si>
  <si>
    <t xml:space="preserve">(Increase) decrease in other long-term assets </t>
  </si>
  <si>
    <t xml:space="preserve">Increase (decrease) in accounts payable and accrued liabilities </t>
  </si>
  <si>
    <t>Increase (decrease) in income tax payable</t>
  </si>
  <si>
    <t>Increase (decrease) in deferred revenue</t>
  </si>
  <si>
    <t xml:space="preserve">Increase (decrease) in other long-term liabilities </t>
  </si>
  <si>
    <t>Networking Capital</t>
  </si>
  <si>
    <t xml:space="preserve">Cash generated from (used in) operating activities </t>
  </si>
  <si>
    <t xml:space="preserve">Investing Activities </t>
  </si>
  <si>
    <t>Purchase of property and equipment</t>
  </si>
  <si>
    <t>Purchase of intangible assets</t>
  </si>
  <si>
    <t xml:space="preserve">Acquisitions of business, net of cash acquired </t>
  </si>
  <si>
    <t>Other</t>
  </si>
  <si>
    <t xml:space="preserve">Interest Income </t>
  </si>
  <si>
    <t xml:space="preserve">Cash generated from (used in) investing activities </t>
  </si>
  <si>
    <t xml:space="preserve">Financing Activities </t>
  </si>
  <si>
    <t>Proceeds from options exercised</t>
  </si>
  <si>
    <t xml:space="preserve">Proceeds from share issuance </t>
  </si>
  <si>
    <t xml:space="preserve">Share issuance cost </t>
  </si>
  <si>
    <t>Shares repurchased for cancellation</t>
  </si>
  <si>
    <t xml:space="preserve">Payment of lease liabilities </t>
  </si>
  <si>
    <t xml:space="preserve">Repayment of long term debt </t>
  </si>
  <si>
    <t xml:space="preserve">Financing costs </t>
  </si>
  <si>
    <t xml:space="preserve">Cash generated from (used in) financing activities </t>
  </si>
  <si>
    <t xml:space="preserve">Increase (decrease) in cash and cash equivalents </t>
  </si>
  <si>
    <t xml:space="preserve">Cash and cash equivalents - Beginning of Year </t>
  </si>
  <si>
    <t xml:space="preserve">Cash and cash equivalents - End of Year </t>
  </si>
  <si>
    <t>Check</t>
  </si>
  <si>
    <t xml:space="preserve">Revenue by Channel </t>
  </si>
  <si>
    <t xml:space="preserve">(in thousands of $USD) </t>
  </si>
  <si>
    <t xml:space="preserve">Subscription </t>
  </si>
  <si>
    <t xml:space="preserve">% of Sales </t>
  </si>
  <si>
    <t>% growth</t>
  </si>
  <si>
    <t xml:space="preserve">COGS </t>
  </si>
  <si>
    <t xml:space="preserve">COGS % of Channel sales </t>
  </si>
  <si>
    <t>Straight Line assumption</t>
  </si>
  <si>
    <t xml:space="preserve">COGS % of Total sales </t>
  </si>
  <si>
    <t xml:space="preserve">Gross Profit </t>
  </si>
  <si>
    <t>Gross Profit Margin</t>
  </si>
  <si>
    <t xml:space="preserve">Transaction Based </t>
  </si>
  <si>
    <t>The direct costs include costs of interchange and network assessment fees, processing fees, and bank settlement fees to third-party payment processors and financial institutions involved in settlement</t>
  </si>
  <si>
    <t xml:space="preserve">Hardware &amp; Other </t>
  </si>
  <si>
    <t xml:space="preserve">COGS % of Sales </t>
  </si>
  <si>
    <t xml:space="preserve">Total Revenue </t>
  </si>
  <si>
    <t>Revenue Growth Rate</t>
  </si>
  <si>
    <t xml:space="preserve">GOGS </t>
  </si>
  <si>
    <t xml:space="preserve">COGS % of sales </t>
  </si>
  <si>
    <t xml:space="preserve">Revenue &amp; Store Metrics </t>
  </si>
  <si>
    <t>Blended Take Rate</t>
  </si>
  <si>
    <t xml:space="preserve">Gross Transaction Volume (GTV) </t>
  </si>
  <si>
    <t xml:space="preserve">Gross Payment Volume (GPV) </t>
  </si>
  <si>
    <t>GTV Growth</t>
  </si>
  <si>
    <t>GPV Growth</t>
  </si>
  <si>
    <t>Customer Locations (Legacy)</t>
  </si>
  <si>
    <t>Customer Locations (New)</t>
  </si>
  <si>
    <t>GTV per Location (Legacy)</t>
  </si>
  <si>
    <t>GTV per Location (New)</t>
  </si>
  <si>
    <t>GPV per Location (Legacy)</t>
  </si>
  <si>
    <t>GPV per Location (New)</t>
  </si>
  <si>
    <t>Monthly ARPU (Legacy)</t>
  </si>
  <si>
    <t>Monthly ARPU (New)</t>
  </si>
  <si>
    <t>Monthly Subscription ARPU (Legacy)</t>
  </si>
  <si>
    <t>Monthly Subscription ARPU (New)</t>
  </si>
  <si>
    <t>Assumptions</t>
  </si>
  <si>
    <t>Blended Take Rate Change</t>
  </si>
  <si>
    <t>Penetration</t>
  </si>
  <si>
    <t>Penetration Growth</t>
  </si>
  <si>
    <t>Account</t>
  </si>
  <si>
    <t>Definition</t>
  </si>
  <si>
    <t>Trend</t>
  </si>
  <si>
    <t>Notes</t>
  </si>
  <si>
    <t>Transaction revenue earned per dollar of GPV processed (includes Lightspeed Payments, third-party payment provider, and Capital revenue (loans)
- GPV makes up 85% approx, third party pmt provider 10% and capital 4%</t>
  </si>
  <si>
    <t>Decreasing as new customers mandated to be on the payment system</t>
  </si>
  <si>
    <t>Q2 FY2025 earnings call: "Lightspeed Capital revenue grew to $9.3 million" (quarterly) - Loans &amp; Borrowing</t>
  </si>
  <si>
    <t>Pentration</t>
  </si>
  <si>
    <t>GPV as a percentage of GTV, representing the share of merchant transaction volume processed through Lightspeed Payments. Growth decelerates as legacy customer conversion completes, leveling off at ~62-65% based on Shopify Payments benchmark (currently at 64-65% penetration)</t>
  </si>
  <si>
    <t>Declining as expected to plateua near competitor Shopify</t>
  </si>
  <si>
    <t>Customer Location Growth Assumption</t>
  </si>
  <si>
    <t>We assume 4% annual growth in customer locations under the new reporting definition (144,000 base as of FY2025). Management has guided to 10-15% CAGR for growth-engine locations (North American retail and European hospitality) through FY2028, while strategically de-emphasizing other markets where the company has indicated it is "focusing on retail Customer Locations in North America and hospitality Customer Locations in Europe as opposed to total Customer Locations." The 4% blended rate reflects strong expansion in core verticals partially offset by attrition in non-core geographies. This assumption is modestly below the ~5% annualized pace observed in H1 FY2026 (+3,700 net adds), providing a conservative buffer against potential macro headwinds or execution variability.</t>
  </si>
  <si>
    <t>Q2 FY2026 Earnings Call (November 2025):"As a reminder, our goal is a targeted three-year customer location CAGR of 10-15%, and we are on pace to meet that goal.
Note: FY2024-25 declines were intentional — management focused on churning low-value customers and attracting high-GTV locations.</t>
  </si>
  <si>
    <t>ARPU Growth</t>
  </si>
  <si>
    <t>MANAGEMENT COMMENTARY
Capital Markets Day — 3 Strategic Priorities:
Growing customer locations
Expanding subscription ARPU ← Explicit priority
Improving Adjusted EBITDA and free cash flow</t>
  </si>
  <si>
    <t>Q2 FY2026 Earnings Call (Nov 2025):
"Software ARPU increased due to our outbound teams attracting larger customers, new software releases, and the benefit of price increases we implemented last year."
"We continue to evolve our pricing strategy to include new modules, driving ARPU uplift."</t>
  </si>
  <si>
    <t>Rationale:
Last 4 years: 9-10% growth consistently
Q1-Q2 FY2026: 10% growth delivered
Management explicitly prioritizing ARPU expansion
Ongoing price increases + new module launches
Outbound targeting larger customers with higher ARPU</t>
  </si>
  <si>
    <t>Take Rate</t>
  </si>
  <si>
    <r>
      <t xml:space="preserve">This models </t>
    </r>
    <r>
      <rPr>
        <b/>
        <sz val="11"/>
        <color theme="1"/>
        <rFont val="Calibri"/>
        <family val="2"/>
        <scheme val="minor"/>
      </rPr>
      <t>decelerating compression</t>
    </r>
    <r>
      <rPr>
        <sz val="11"/>
        <color theme="1"/>
        <rFont val="Calibri"/>
        <family val="2"/>
        <scheme val="minor"/>
      </rPr>
      <t xml:space="preserve"> — the take rate decline slows as it approaches a floor (industry steady-state around 1.7-1.8%).</t>
    </r>
  </si>
  <si>
    <t>WHAT IT IS
Blended Take Rate = Transaction Revenue ÷ GPV
It's how much LSPD earns per dollar of payment volume processed.
Example: FY2025 Take Rate = $697M ÷ $33.9B = 2.06%
Meaning: LSPD earns ~$2.06 for every $100 processed through Lightspeed Payments.</t>
  </si>
  <si>
    <t>What Management DID Guide (Capital Markets Day, March 2025)</t>
  </si>
  <si>
    <t>Metric</t>
  </si>
  <si>
    <t>Target</t>
  </si>
  <si>
    <t>Period</t>
  </si>
  <si>
    <t>Location Growth (Growth Engines)</t>
  </si>
  <si>
    <t>10-15% CAGR</t>
  </si>
  <si>
    <t>FY2025-FY2028</t>
  </si>
  <si>
    <t>Gross Profit Growth (Consolidated)</t>
  </si>
  <si>
    <t>15-18% CAGR</t>
  </si>
  <si>
    <t>Gross Profit Growth (Growth Engines)</t>
  </si>
  <si>
    <t>20-25% CAGR</t>
  </si>
  <si>
    <t>Adjusted EBITDA</t>
  </si>
  <si>
    <t>~35% CAGR, reaching ~20% of GP</t>
  </si>
  <si>
    <t>By FY2028</t>
  </si>
  <si>
    <t>Adjusted Free Cash Flow</t>
  </si>
  <si>
    <t>~$100M</t>
  </si>
  <si>
    <t>Depreciation Schedule for PP&amp;E</t>
  </si>
  <si>
    <t> </t>
  </si>
  <si>
    <t>PP&amp;E, Net (beg. of year)</t>
  </si>
  <si>
    <t>Capital expenditures (beg. of year)</t>
  </si>
  <si>
    <t>Book Depreciation</t>
  </si>
  <si>
    <t>Useful Life</t>
  </si>
  <si>
    <t>PP&amp;E Years</t>
  </si>
  <si>
    <t xml:space="preserve"> </t>
  </si>
  <si>
    <t>Capex Years</t>
  </si>
  <si>
    <t>Depreciation</t>
  </si>
  <si>
    <t>Existing PP&amp;E</t>
  </si>
  <si>
    <t>2026 Capex</t>
  </si>
  <si>
    <t>2027 Capex</t>
  </si>
  <si>
    <t>2028 Capex</t>
  </si>
  <si>
    <t>2029 Capex</t>
  </si>
  <si>
    <t>Asset Type</t>
  </si>
  <si>
    <t>Class</t>
  </si>
  <si>
    <t>Book Value (end 2025)</t>
  </si>
  <si>
    <t>Weight</t>
  </si>
  <si>
    <t>CCA Rate</t>
  </si>
  <si>
    <t>2030 Capex</t>
  </si>
  <si>
    <t>Furniture</t>
  </si>
  <si>
    <t>Total book depreciation</t>
  </si>
  <si>
    <t>Equipment</t>
  </si>
  <si>
    <t>Computer Equipment</t>
  </si>
  <si>
    <t>Leasehold improvements</t>
  </si>
  <si>
    <t>Tax depreciation (%)</t>
  </si>
  <si>
    <t>Weighted Average CCA Rate</t>
  </si>
  <si>
    <t>UCC Existing PP&amp;E</t>
  </si>
  <si>
    <t>--&gt; Deferred tax liability for end 2025 used</t>
  </si>
  <si>
    <t>Beg PPE-(Last years DTL/Tax Rate)</t>
  </si>
  <si>
    <t>Tax depreciation</t>
  </si>
  <si>
    <t>Total tax depreciation</t>
  </si>
  <si>
    <t>Difference in depreciation</t>
  </si>
  <si>
    <t>Statutory tax rate (%)</t>
  </si>
  <si>
    <t>Deferred taxes</t>
  </si>
  <si>
    <t>Increase to DTA</t>
  </si>
  <si>
    <t>Increase to DTL</t>
  </si>
  <si>
    <t>Depreciation Schedule for Intangible Assest</t>
  </si>
  <si>
    <t>(in thousands of $CAD)</t>
  </si>
  <si>
    <t>Intangible Assets, Net (beg. of year)</t>
  </si>
  <si>
    <t>Purchase of Intangibles (beg. of year)</t>
  </si>
  <si>
    <t>Intangibles Years</t>
  </si>
  <si>
    <t>Net New Intangible Years</t>
  </si>
  <si>
    <t>Existing Intangibles</t>
  </si>
  <si>
    <t>2026 Increase</t>
  </si>
  <si>
    <t>2027 Increase</t>
  </si>
  <si>
    <t>2028 Increase</t>
  </si>
  <si>
    <t>2029 Increase</t>
  </si>
  <si>
    <t>2030 Increase</t>
  </si>
  <si>
    <t>Depreciation Schedule for ROU Assets</t>
  </si>
  <si>
    <t>2026F</t>
  </si>
  <si>
    <t>2027F</t>
  </si>
  <si>
    <t>2028F</t>
  </si>
  <si>
    <t>2029F</t>
  </si>
  <si>
    <t>2030F</t>
  </si>
  <si>
    <t>ROU, Net (beg. of year)</t>
  </si>
  <si>
    <t>Net new increases to ROU (beg. of year)</t>
  </si>
  <si>
    <t>Average lease term</t>
  </si>
  <si>
    <t>Average lease term of new ROU</t>
  </si>
  <si>
    <t>Existing ROU</t>
  </si>
  <si>
    <t xml:space="preserve">Cost of Equity </t>
  </si>
  <si>
    <t xml:space="preserve">United States </t>
  </si>
  <si>
    <t xml:space="preserve">% Sales </t>
  </si>
  <si>
    <t xml:space="preserve">Canada </t>
  </si>
  <si>
    <t xml:space="preserve">Australia </t>
  </si>
  <si>
    <t xml:space="preserve">Netherlands </t>
  </si>
  <si>
    <t xml:space="preserve">United Kingdom </t>
  </si>
  <si>
    <t xml:space="preserve">Other </t>
  </si>
  <si>
    <t xml:space="preserve">US 10-yr Bond </t>
  </si>
  <si>
    <t>Country</t>
  </si>
  <si>
    <t xml:space="preserve">ERP </t>
  </si>
  <si>
    <t>Revenue weight</t>
  </si>
  <si>
    <t xml:space="preserve">Revenue Weighted ERP </t>
  </si>
  <si>
    <t xml:space="preserve">Equity Beta </t>
  </si>
  <si>
    <t xml:space="preserve">4Y Monthly Beta </t>
  </si>
  <si>
    <t>**Beta Methodology Note**
Raw beta (2.057) represents the actual observed volatility of LSPD relative to the S&amp;P 500, calculated directly from a linear regression of monthly returns. Adjusted beta (1.705) applies the Bloomberg adjustment formula [(2/3 × Raw Beta) + (1/3 × 1.0)], which assumes betas revert toward the market beta of 1.0 over time. For this analysis, raw beta is used as it more accurately reflects the current risk profile of high-growth technology companies without artificial dampening.
A 3-year measurement period (January 2022 – January 2026) was selected to exclude the anomalous volatility of 2021, during which LSPD experienced a surge from approximately $30 to $120 followed by a decline to $20 amid post-IPO momentum, COVID-related e-commerce tailwinds, and the subsequent tech sector correction. Including this period would overstate systematic risk. The 3-year raw beta of 2.057 versus the 5-year raw beta of 2.698 provides a more representative measure of LSPD's current market sensitivity.
**Source:** Bloomberg Terminal, January 6, 2026. LSPD US Equity, 3-Year Monthly Raw Beta vs S&amp;P 500 (SPX Index).</t>
  </si>
  <si>
    <t xml:space="preserve">Re = Rf + B*ERP </t>
  </si>
  <si>
    <t>DCF</t>
  </si>
  <si>
    <t>FY Ending Dec. 31</t>
  </si>
  <si>
    <t xml:space="preserve"> LSPD - DCF Assumptions &amp; Output</t>
  </si>
  <si>
    <t>Revenue</t>
  </si>
  <si>
    <t>Discount Rate</t>
  </si>
  <si>
    <t>% YoY</t>
  </si>
  <si>
    <t>Circularity Breaker</t>
  </si>
  <si>
    <t>Operating Income (Loss) (EBIT)</t>
  </si>
  <si>
    <t>Terminal Growth Rate</t>
  </si>
  <si>
    <t>Terminal Value</t>
  </si>
  <si>
    <t>Less: Taxes</t>
  </si>
  <si>
    <t>Implied Terminal EBITDA Multiple</t>
  </si>
  <si>
    <t>Tax Rate</t>
  </si>
  <si>
    <t>Net Operating Profit After Taxes (NOPAT)</t>
  </si>
  <si>
    <t>PV of Terminal Value</t>
  </si>
  <si>
    <t>Sum of PV of Cash Flows</t>
  </si>
  <si>
    <t>Plus: Depreciation &amp; Amortization</t>
  </si>
  <si>
    <t>Add: Redundant Assets</t>
  </si>
  <si>
    <t>Plus: Stock-Based Compensation</t>
  </si>
  <si>
    <t>Enterprise Value</t>
  </si>
  <si>
    <t>Less: Interest-bearing debt</t>
  </si>
  <si>
    <t>Plus: Change in Net Working Capital</t>
  </si>
  <si>
    <t>Add: Cash and Investments</t>
  </si>
  <si>
    <t>Plus: Other Balance Sheet Adjustments</t>
  </si>
  <si>
    <t>Less: Noncontrolling interest</t>
  </si>
  <si>
    <t>Less: Preferred Shares</t>
  </si>
  <si>
    <t>Less: Capital Expenditures</t>
  </si>
  <si>
    <t>Less: Unfunded pensions and other liabilities</t>
  </si>
  <si>
    <t>Implied Equity Value</t>
  </si>
  <si>
    <t>Unlevered Free Cash Flow</t>
  </si>
  <si>
    <t>Present Value of Free Cash Flow</t>
  </si>
  <si>
    <t>Basic Shares Outstanding</t>
  </si>
  <si>
    <t>Diluted Shares Outstanding</t>
  </si>
  <si>
    <t>Normal Discount Period</t>
  </si>
  <si>
    <t>Implied Share Price</t>
  </si>
  <si>
    <t>Midyear Convention Discount</t>
  </si>
  <si>
    <t>Free Cash Flow Growth Rate</t>
  </si>
  <si>
    <t>YoY %</t>
  </si>
  <si>
    <t>Sensitivity of Share Price to WACC &amp; Terminal Growth Rate</t>
  </si>
  <si>
    <t>Implied Terminal Growth Rate Formula check</t>
  </si>
  <si>
    <t>Implied Terminal Growth Rate = [Discount Rate – (Final Year Free Cash Flow ÷ Terminal Value)] ÷ [1 + (Final Year Free Cash Flow ÷ Terminal Value)]</t>
  </si>
  <si>
    <t>WACC</t>
  </si>
  <si>
    <t>LSPD Comparable Company Analysis - EV/Revenue</t>
  </si>
  <si>
    <t>LSPD Comparable Company Analysis - EV/Gross Profit</t>
  </si>
  <si>
    <t>Valuation Date: January 7, 2026 close price</t>
  </si>
  <si>
    <t>Valuation Date: January 7, 2026</t>
  </si>
  <si>
    <t>All values in $ millions except Share Price</t>
  </si>
  <si>
    <t>SECTION 1: MARKET DATA &amp; ENTERPRISE VALUE</t>
  </si>
  <si>
    <t>Shopify</t>
  </si>
  <si>
    <t>Toast</t>
  </si>
  <si>
    <t>Block</t>
  </si>
  <si>
    <t>Shift4</t>
  </si>
  <si>
    <t>LSPD</t>
  </si>
  <si>
    <t>Share Price ($)</t>
  </si>
  <si>
    <t>Shares Outstanding (M)</t>
  </si>
  <si>
    <t>Market Cap ($M)</t>
  </si>
  <si>
    <t>Cash &amp; Equivalents ($M)</t>
  </si>
  <si>
    <t>Total Debt ($M)</t>
  </si>
  <si>
    <t>Enterprise Value ($M)</t>
  </si>
  <si>
    <t>SECTION 2: REVENUE &amp; MULTIPLES (FY2024)</t>
  </si>
  <si>
    <t>SECTION 2: GROSS PROFIT &amp; MULTIPLES (FY2024)</t>
  </si>
  <si>
    <t>FY2024 Revenue ($M)</t>
  </si>
  <si>
    <t>FY2023 Revenue ($M)</t>
  </si>
  <si>
    <t>FY2024 Gross Profit ($M)</t>
  </si>
  <si>
    <t>Revenue Growth (%)</t>
  </si>
  <si>
    <t>Gross Margin (%)</t>
  </si>
  <si>
    <t>EV/Revenue Multiple</t>
  </si>
  <si>
    <t>EV/Gross Profit Multiple</t>
  </si>
  <si>
    <t>LSPD Discount to Peers</t>
  </si>
  <si>
    <t>LSPD Discount forward Looking</t>
  </si>
  <si>
    <t>SECTION 3: SUMMARY STATISTICS</t>
  </si>
  <si>
    <t>Inc SHOP</t>
  </si>
  <si>
    <t>Ex SHOP</t>
  </si>
  <si>
    <t>Peer Mean EV/Revenue</t>
  </si>
  <si>
    <t>Peer Mean EV/Gross Profit</t>
  </si>
  <si>
    <t>Peer Median EV/Revenue</t>
  </si>
  <si>
    <t>Peer Median EV/Gross Profit</t>
  </si>
  <si>
    <t>Minimum EV/Revenue</t>
  </si>
  <si>
    <t>Minimum EV/Gross Profit</t>
  </si>
  <si>
    <t>Maximum EV/Revenue</t>
  </si>
  <si>
    <t>Maximum EV/Gross Profit</t>
  </si>
  <si>
    <t>SECTION 4: LSPD INPUTS (FY2025)</t>
  </si>
  <si>
    <t>LSPD FY2025 Revenue ($M)</t>
  </si>
  <si>
    <t>LSPD FY2025 Gross Profit ($M)</t>
  </si>
  <si>
    <t>LSPD Cash ($M)</t>
  </si>
  <si>
    <t>LSPD Debt ($M)</t>
  </si>
  <si>
    <t>LSPD Shares Outstanding (M)</t>
  </si>
  <si>
    <t>SECTION 5: LSPD IMPLIED VALUATION</t>
  </si>
  <si>
    <t>LSPD Enterprise Value Multiple</t>
  </si>
  <si>
    <t>LSPD Equity Value</t>
  </si>
  <si>
    <t>LSPD Implied Share Price (Median)</t>
  </si>
  <si>
    <t>LSPD Implied Share Price (Median) Discount</t>
  </si>
  <si>
    <t>Valuation Check</t>
  </si>
  <si>
    <t>Implied EV (Peer Mean)</t>
  </si>
  <si>
    <t>Implied EV (Peer Median)</t>
  </si>
  <si>
    <t>Implied Equity Value (Mean)</t>
  </si>
  <si>
    <t>Implied Equity Value (Median)</t>
  </si>
  <si>
    <t>Implied Share Price (Mean)</t>
  </si>
  <si>
    <t>Implied Share Price (Median)</t>
  </si>
  <si>
    <t>SECTION 6: DATA SOURCES</t>
  </si>
  <si>
    <t>Shopify: 10-K FY2024 (Dec 31, 2024), Filed Feb 11, 2025</t>
  </si>
  <si>
    <t>Toast: 10-K FY2024 (Dec 31, 2024), Filed Feb 26, 2025</t>
  </si>
  <si>
    <t>Block: 10-K FY2024 (Dec 31, 2024), Filed Feb 24, 2025</t>
  </si>
  <si>
    <t>Shift4: 10-K FY2024 (Dec 31, 2024), Filed Feb 19, 2025</t>
  </si>
  <si>
    <t>LSPD: 10-K FY2025 (Mar 31, 2025)</t>
  </si>
  <si>
    <t>Share Prices: Market Data as of January 7, 2026</t>
  </si>
  <si>
    <t>Results from Valuation</t>
  </si>
  <si>
    <t>Target Price</t>
  </si>
  <si>
    <t>Upside/(Downside)</t>
  </si>
  <si>
    <t>DCF Base</t>
  </si>
  <si>
    <t>Relative Valuation</t>
  </si>
  <si>
    <t xml:space="preserve">  EV/Revenue</t>
  </si>
  <si>
    <t xml:space="preserve">  EV/Gross Profit</t>
  </si>
  <si>
    <t>Target Price for Both</t>
  </si>
  <si>
    <t>FY21</t>
  </si>
  <si>
    <t>FY22</t>
  </si>
  <si>
    <t>FY23</t>
  </si>
  <si>
    <t>FY24</t>
  </si>
  <si>
    <t>FY25</t>
  </si>
  <si>
    <t xml:space="preserve">Current Price </t>
  </si>
  <si>
    <t xml:space="preserve">Analyst Estimate </t>
  </si>
  <si>
    <t xml:space="preserve">DCF Target Price </t>
  </si>
  <si>
    <t xml:space="preserve">RV Target Price </t>
  </si>
  <si>
    <t>Region</t>
  </si>
  <si>
    <t>United States</t>
  </si>
  <si>
    <t>Canada</t>
  </si>
  <si>
    <t>Australia</t>
  </si>
  <si>
    <t>United Kingdom</t>
  </si>
  <si>
    <t>In Millions of USD</t>
  </si>
  <si>
    <t>2018 A (Rep)</t>
  </si>
  <si>
    <t>2019 A (Rep)</t>
  </si>
  <si>
    <t>2020 A (Rep)</t>
  </si>
  <si>
    <t>2021 A (Rep)</t>
  </si>
  <si>
    <t>2022 A (Rep)</t>
  </si>
  <si>
    <t>2023 A (Rep)</t>
  </si>
  <si>
    <t>2024 A (Rep)</t>
  </si>
  <si>
    <t>2025 A (Rep)</t>
  </si>
  <si>
    <t>2026 A (Fwd)</t>
  </si>
  <si>
    <t>2027 A (Fwd)</t>
  </si>
  <si>
    <t>12 Months Ending</t>
  </si>
  <si>
    <t xml:space="preserve">  Highlights</t>
  </si>
  <si>
    <t xml:space="preserve">  Adjusted Diluted EPS</t>
  </si>
  <si>
    <t/>
  </si>
  <si>
    <t xml:space="preserve">  Revenue</t>
  </si>
  <si>
    <t xml:space="preserve">  </t>
  </si>
  <si>
    <t xml:space="preserve">  Gross Transaction Value (GTV)</t>
  </si>
  <si>
    <t xml:space="preserve">  Number of Locations</t>
  </si>
  <si>
    <t xml:space="preserve">  Segment Revenue</t>
  </si>
  <si>
    <t xml:space="preserve">    Subscription</t>
  </si>
  <si>
    <t xml:space="preserve">    Transaction</t>
  </si>
  <si>
    <t xml:space="preserve">    Hardware &amp; Other</t>
  </si>
  <si>
    <t xml:space="preserve">  Adjusted EBITDA</t>
  </si>
  <si>
    <t xml:space="preserve">  Company Operating Metrics</t>
  </si>
  <si>
    <t xml:space="preserve">  Company-Level Industry Statistics</t>
  </si>
  <si>
    <t xml:space="preserve">  Gross Payment Volume (GPV)</t>
  </si>
  <si>
    <t xml:space="preserve">  Gross Take Rate (%)</t>
  </si>
  <si>
    <t xml:space="preserve">  Net Take Rate (%)</t>
  </si>
  <si>
    <t xml:space="preserve">  Average Revenue per User (ARPU)</t>
  </si>
  <si>
    <t xml:space="preserve">  Business Breakdown</t>
  </si>
  <si>
    <t xml:space="preserve">  Subscription</t>
  </si>
  <si>
    <t xml:space="preserve">    Revenue</t>
  </si>
  <si>
    <t xml:space="preserve">      As % of Revenue</t>
  </si>
  <si>
    <t xml:space="preserve">    Cost of Revenue</t>
  </si>
  <si>
    <t xml:space="preserve">    Gross Profit</t>
  </si>
  <si>
    <t xml:space="preserve">  Transaction</t>
  </si>
  <si>
    <t xml:space="preserve">  Hardware &amp; Other</t>
  </si>
  <si>
    <t xml:space="preserve">  Prior Disclosure</t>
  </si>
  <si>
    <t xml:space="preserve">  Software &amp; Payments</t>
  </si>
  <si>
    <t xml:space="preserve">  Income Statement</t>
  </si>
  <si>
    <t xml:space="preserve">  Total Revenue</t>
  </si>
  <si>
    <t xml:space="preserve">  Cost of Revenue</t>
  </si>
  <si>
    <t xml:space="preserve">  Gross Profit</t>
  </si>
  <si>
    <t xml:space="preserve">    Gross Margin (%)</t>
  </si>
  <si>
    <t xml:space="preserve">  Total Operating Expenses</t>
  </si>
  <si>
    <t xml:space="preserve">    Selling, General &amp; Administrative</t>
  </si>
  <si>
    <t xml:space="preserve">      Marketing &amp; Sales</t>
  </si>
  <si>
    <t xml:space="preserve">      General &amp; Administrative</t>
  </si>
  <si>
    <t xml:space="preserve">    Research &amp; Development</t>
  </si>
  <si>
    <t xml:space="preserve">    Restructuring</t>
  </si>
  <si>
    <t xml:space="preserve">    Acquisition-Related Expenses</t>
  </si>
  <si>
    <t xml:space="preserve">    Foreign Exchange (Gain) Loss</t>
  </si>
  <si>
    <t xml:space="preserve">    Depreciation &amp; Amortization</t>
  </si>
  <si>
    <t xml:space="preserve">      Depreciation</t>
  </si>
  <si>
    <t xml:space="preserve">        Depreciation of Property &amp; Equipment</t>
  </si>
  <si>
    <t xml:space="preserve">        Depreciation of Right-of-Use Assets</t>
  </si>
  <si>
    <t xml:space="preserve">      Amortization</t>
  </si>
  <si>
    <t xml:space="preserve">  Operating Income</t>
  </si>
  <si>
    <t xml:space="preserve">  Interest Income, Net</t>
  </si>
  <si>
    <t xml:space="preserve">  Pre-Tax Income</t>
  </si>
  <si>
    <t xml:space="preserve">  Income Tax Expense</t>
  </si>
  <si>
    <t xml:space="preserve">    Current Income Tax</t>
  </si>
  <si>
    <t xml:space="preserve">  Net Income</t>
  </si>
  <si>
    <t xml:space="preserve">    Net Margin (%)</t>
  </si>
  <si>
    <t xml:space="preserve">  Basic Weighted Avg. Shares</t>
  </si>
  <si>
    <t xml:space="preserve">  Basic EPS</t>
  </si>
  <si>
    <t xml:space="preserve">  Diluted EPS</t>
  </si>
  <si>
    <t xml:space="preserve">  Comprehensive Income</t>
  </si>
  <si>
    <t xml:space="preserve">  Adjusted Results</t>
  </si>
  <si>
    <t xml:space="preserve">      Gross Margin (%)</t>
  </si>
  <si>
    <t xml:space="preserve">    Research &amp; Development Expense</t>
  </si>
  <si>
    <t xml:space="preserve">    Selling &amp; Marketing Expense</t>
  </si>
  <si>
    <t xml:space="preserve">    General &amp; Administrative Expense</t>
  </si>
  <si>
    <t xml:space="preserve">    EBITDA</t>
  </si>
  <si>
    <t xml:space="preserve">    Net Income</t>
  </si>
  <si>
    <t xml:space="preserve">      Net Margin (%)</t>
  </si>
  <si>
    <t xml:space="preserve">    Diluted EPS</t>
  </si>
  <si>
    <t xml:space="preserve">  Company Specific Adjustments</t>
  </si>
  <si>
    <t xml:space="preserve">    Stock-Based Compensation</t>
  </si>
  <si>
    <t xml:space="preserve">      Cost of Goods Sold</t>
  </si>
  <si>
    <t xml:space="preserve">      Research &amp; Development</t>
  </si>
  <si>
    <t xml:space="preserve">      Selling &amp; Marketing</t>
  </si>
  <si>
    <t xml:space="preserve">  Condensed Balance Sheet</t>
  </si>
  <si>
    <t xml:space="preserve">  Assets</t>
  </si>
  <si>
    <t xml:space="preserve">    Current Assets</t>
  </si>
  <si>
    <t xml:space="preserve">      Cash &amp; Cash Equivalents</t>
  </si>
  <si>
    <t xml:space="preserve">      Accounts Receivable</t>
  </si>
  <si>
    <t xml:space="preserve">      Inventories</t>
  </si>
  <si>
    <t xml:space="preserve">      Merchant Cash Advances</t>
  </si>
  <si>
    <t xml:space="preserve">      Other Current Assets</t>
  </si>
  <si>
    <t xml:space="preserve">    Non-Current Assets</t>
  </si>
  <si>
    <t xml:space="preserve">      Lease Right-of-Use Assets</t>
  </si>
  <si>
    <t xml:space="preserve">      Property, Plant &amp; Equipment</t>
  </si>
  <si>
    <t xml:space="preserve">      Other Intangible Assets</t>
  </si>
  <si>
    <t xml:space="preserve">      Goodwill</t>
  </si>
  <si>
    <t xml:space="preserve">      Other Long-Term Assets</t>
  </si>
  <si>
    <t xml:space="preserve">      Deferred Tax Assets</t>
  </si>
  <si>
    <t xml:space="preserve">    Total Assets</t>
  </si>
  <si>
    <t xml:space="preserve">  Liabilities &amp; Equity</t>
  </si>
  <si>
    <t xml:space="preserve">    Current Liabilities</t>
  </si>
  <si>
    <t xml:space="preserve">      Accounts Payable</t>
  </si>
  <si>
    <t xml:space="preserve">      Current Portion of Deferred Revenue</t>
  </si>
  <si>
    <t xml:space="preserve">      Short-Term Lease Liabilities</t>
  </si>
  <si>
    <t xml:space="preserve">      Income Taxes Payable</t>
  </si>
  <si>
    <t xml:space="preserve">    Non-Current Liabilities</t>
  </si>
  <si>
    <t xml:space="preserve">      Long Term Debt</t>
  </si>
  <si>
    <t xml:space="preserve">      Deferred Tax Liabilities</t>
  </si>
  <si>
    <t xml:space="preserve">      Deferred Revenue</t>
  </si>
  <si>
    <t xml:space="preserve">      Long-Term Lease Liabilities</t>
  </si>
  <si>
    <t xml:space="preserve">      Other Non-Current Liabilities</t>
  </si>
  <si>
    <t xml:space="preserve">    Total Liabilities</t>
  </si>
  <si>
    <t xml:space="preserve">    Total Shareholders' Equity</t>
  </si>
  <si>
    <t xml:space="preserve">      Share Capital</t>
  </si>
  <si>
    <t xml:space="preserve">      Additional Paid-in Capital</t>
  </si>
  <si>
    <t xml:space="preserve">      Retained Earnings</t>
  </si>
  <si>
    <t xml:space="preserve">      Accumulated Other Comprehensive Income(Loss)</t>
  </si>
  <si>
    <t xml:space="preserve">    Total Liabilities &amp; Shareholders' Equity</t>
  </si>
  <si>
    <t xml:space="preserve">  Special Company Reference Items</t>
  </si>
  <si>
    <t xml:space="preserve">    Net Debt (Cash)</t>
  </si>
  <si>
    <t xml:space="preserve">    </t>
  </si>
  <si>
    <t xml:space="preserve">    Return on Assets (%)</t>
  </si>
  <si>
    <t xml:space="preserve">    Return on Equity (%)</t>
  </si>
  <si>
    <t xml:space="preserve">    Book Value per Share</t>
  </si>
  <si>
    <t xml:space="preserve">  Condensed Cash Flow Statement</t>
  </si>
  <si>
    <t xml:space="preserve">  Cash from Operating Activities</t>
  </si>
  <si>
    <t xml:space="preserve">    Deferred Income Taxes</t>
  </si>
  <si>
    <t xml:space="preserve">    Foreign Exchange Gain Loss</t>
  </si>
  <si>
    <t xml:space="preserve">    Other Non-Cash Items</t>
  </si>
  <si>
    <t xml:space="preserve">    Change in Working Capital</t>
  </si>
  <si>
    <t xml:space="preserve">      Accounts Payable &amp; Accrued Liabilities</t>
  </si>
  <si>
    <t xml:space="preserve">      Other Assets</t>
  </si>
  <si>
    <t xml:space="preserve">  Cash Flow from Operations</t>
  </si>
  <si>
    <t xml:space="preserve">  Cash from Investing Activities</t>
  </si>
  <si>
    <t xml:space="preserve">    Proceeds from Asset Dispositions</t>
  </si>
  <si>
    <t xml:space="preserve">    Capital Expenditures</t>
  </si>
  <si>
    <t xml:space="preserve">    Acquisition of Intangibles</t>
  </si>
  <si>
    <t xml:space="preserve">    Acquisition of Business</t>
  </si>
  <si>
    <t xml:space="preserve">    Purchase of Investments</t>
  </si>
  <si>
    <t xml:space="preserve">    Financing costs</t>
  </si>
  <si>
    <t xml:space="preserve">  Cash Flow from Investing</t>
  </si>
  <si>
    <t xml:space="preserve">  Cash from Financing Activities</t>
  </si>
  <si>
    <t xml:space="preserve">    Change in Debt</t>
  </si>
  <si>
    <t xml:space="preserve">      Debt Issuance</t>
  </si>
  <si>
    <t xml:space="preserve">    Change in Equity</t>
  </si>
  <si>
    <t xml:space="preserve">    Stock Issuance Costs</t>
  </si>
  <si>
    <t xml:space="preserve">    Payment of Lease Liabilities</t>
  </si>
  <si>
    <t xml:space="preserve">  Cash Flow from Financing</t>
  </si>
  <si>
    <t xml:space="preserve">    Effect of Foreign Exchange Rates</t>
  </si>
  <si>
    <t xml:space="preserve">    Net Change in Cash</t>
  </si>
  <si>
    <t xml:space="preserve">      Cash &amp; Cash Equivalents (BOP)</t>
  </si>
  <si>
    <t xml:space="preserve">      Cash &amp; Cash Equivalents (EOP)</t>
  </si>
  <si>
    <t xml:space="preserve">    Cash Flow per Share</t>
  </si>
  <si>
    <t xml:space="preserve">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</si>
</sst>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_-* #,##0.00_-;\-* #,##0.00_-;_-* &quot;-&quot;??_-;_-@_-"/>
    <numFmt numFmtId="165" formatCode="0&quot;F&quot;"/>
    <numFmt numFmtId="166" formatCode="#,##0_);\(#,##0\);\-"/>
    <numFmt numFmtId="167" formatCode="&quot;$&quot;#,##0.00"/>
    <numFmt numFmtId="168" formatCode="0.0%"/>
    <numFmt numFmtId="169" formatCode="&quot;$&quot;#,##0"/>
    <numFmt numFmtId="170" formatCode="0.0\x"/>
    <numFmt numFmtId="171" formatCode="#,##0;\(#,##0\);\-"/>
    <numFmt numFmtId="172" formatCode="0.0"/>
    <numFmt numFmtId="173" formatCode="#,##0.0"/>
    <numFmt numFmtId="174" formatCode="_(* #,##0_);_(* \(#,##0\);_(* &quot;-&quot;??_);_(@_)"/>
    <numFmt numFmtId="175" formatCode="&quot;$&quot;#,##0;[Red]&quot;$&quot;#,##0"/>
    <numFmt numFmtId="176" formatCode="#,##0.00_);\(#,##0.00\);\-"/>
    <numFmt numFmtId="177" formatCode="_([$$-409]* #,##0_);_([$$-409]* \(#,##0\);_([$$-409]* &quot;-&quot;??_);_(@_)"/>
    <numFmt numFmtId="178" formatCode="_(* #,##0.0000_);_(* \(#,##0.0000\);_(* &quot;-&quot;??_);_(@_)"/>
    <numFmt numFmtId="179" formatCode="_(&quot;$&quot;* #,##0.0_);_(&quot;$&quot;* \(#,##0.0\);_(&quot;$&quot;* &quot;-&quot;??_);_(@_)"/>
    <numFmt numFmtId="180" formatCode="_(* #,##0.0000000000_);_(* \(#,##0.0000000000\);_(* &quot;-&quot;??_);_(@_)"/>
    <numFmt numFmtId="181" formatCode="0.00\x"/>
    <numFmt numFmtId="182" formatCode="\$#,##0.00"/>
  </numFmts>
  <fonts count="67" x14ac:knownFonts="1">
    <font>
      <sz val="11"/>
      <color theme="1"/>
      <name val="Calibri"/>
      <charset val="134"/>
      <scheme val="minor"/>
    </font>
    <font>
      <sz val="11"/>
      <color theme="1"/>
      <name val="Calibri"/>
      <family val="2"/>
      <scheme val="minor"/>
    </font>
    <font>
      <sz val="11"/>
      <color theme="1"/>
      <name val="Calibri"/>
      <family val="2"/>
      <scheme val="minor"/>
    </font>
    <font>
      <b/>
      <sz val="10"/>
      <color rgb="FFFFFFFF"/>
      <name val="Arial"/>
      <family val="2"/>
    </font>
    <font>
      <sz val="10"/>
      <color rgb="FF333333"/>
      <name val="Arial"/>
      <family val="2"/>
    </font>
    <font>
      <sz val="10"/>
      <color rgb="FF000000"/>
      <name val="Arial"/>
      <family val="2"/>
    </font>
    <font>
      <b/>
      <sz val="14"/>
      <color theme="0"/>
      <name val="Aptos Narrow"/>
      <family val="2"/>
    </font>
    <font>
      <sz val="11"/>
      <color rgb="FFFFFFFF"/>
      <name val="Calibri"/>
      <family val="2"/>
      <scheme val="minor"/>
    </font>
    <font>
      <sz val="11"/>
      <name val="Calibri"/>
      <family val="2"/>
      <scheme val="minor"/>
    </font>
    <font>
      <b/>
      <sz val="11"/>
      <color rgb="FFFFFFFF"/>
      <name val="Aptos Narrow"/>
      <family val="2"/>
    </font>
    <font>
      <sz val="11"/>
      <color rgb="FFFFFFFF"/>
      <name val="Aptos Narrow"/>
      <family val="2"/>
    </font>
    <font>
      <sz val="11"/>
      <name val="Aptos Narrow"/>
      <family val="2"/>
    </font>
    <font>
      <b/>
      <sz val="11"/>
      <color theme="1"/>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sz val="11"/>
      <color rgb="FF00B050"/>
      <name val="Calibri"/>
      <family val="2"/>
      <scheme val="minor"/>
    </font>
    <font>
      <sz val="11"/>
      <color rgb="FF000000"/>
      <name val="Calibri"/>
      <family val="2"/>
      <scheme val="minor"/>
    </font>
    <font>
      <b/>
      <sz val="11"/>
      <color rgb="FFFFFFFF"/>
      <name val="Calibri"/>
      <family val="2"/>
      <scheme val="minor"/>
    </font>
    <font>
      <sz val="11"/>
      <color theme="8" tint="-0.249977111117893"/>
      <name val="Calibri"/>
      <family val="2"/>
      <scheme val="minor"/>
    </font>
    <font>
      <i/>
      <sz val="11"/>
      <color rgb="FF0070C0"/>
      <name val="Calibri"/>
      <family val="2"/>
      <scheme val="minor"/>
    </font>
    <font>
      <sz val="11"/>
      <color rgb="FF0070C0"/>
      <name val="Calibri"/>
      <family val="2"/>
      <scheme val="minor"/>
    </font>
    <font>
      <b/>
      <sz val="11"/>
      <color rgb="FF000000"/>
      <name val="Aptos Narrow"/>
      <family val="2"/>
    </font>
    <font>
      <i/>
      <sz val="11"/>
      <color theme="8" tint="-0.249977111117893"/>
      <name val="Calibri"/>
      <family val="2"/>
      <scheme val="minor"/>
    </font>
    <font>
      <sz val="11"/>
      <color rgb="FFFF0000"/>
      <name val="Calibri"/>
      <family val="2"/>
      <scheme val="minor"/>
    </font>
    <font>
      <b/>
      <sz val="18"/>
      <color theme="1"/>
      <name val="Calibri"/>
      <family val="2"/>
      <scheme val="minor"/>
    </font>
    <font>
      <i/>
      <sz val="11"/>
      <color theme="0"/>
      <name val="Calibri"/>
      <family val="2"/>
      <scheme val="minor"/>
    </font>
    <font>
      <i/>
      <sz val="11"/>
      <name val="Calibri"/>
      <family val="2"/>
      <scheme val="minor"/>
    </font>
    <font>
      <i/>
      <sz val="11"/>
      <color rgb="FF000000"/>
      <name val="Calibri"/>
      <family val="2"/>
      <scheme val="minor"/>
    </font>
    <font>
      <i/>
      <sz val="11"/>
      <color rgb="FFFF0000"/>
      <name val="Calibri"/>
      <family val="2"/>
      <scheme val="minor"/>
    </font>
    <font>
      <b/>
      <i/>
      <sz val="11"/>
      <color rgb="FFFFFFFF"/>
      <name val="Calibri"/>
      <family val="2"/>
      <scheme val="minor"/>
    </font>
    <font>
      <sz val="10"/>
      <color rgb="FF0070C0"/>
      <name val="Arial"/>
      <family val="2"/>
    </font>
    <font>
      <sz val="10"/>
      <name val="Arial"/>
      <family val="2"/>
    </font>
    <font>
      <i/>
      <sz val="10"/>
      <color rgb="FF0070C0"/>
      <name val="Arial"/>
      <family val="2"/>
    </font>
    <font>
      <b/>
      <sz val="14"/>
      <color rgb="FFFFFFFF"/>
      <name val="Calibri"/>
      <family val="2"/>
      <scheme val="minor"/>
    </font>
    <font>
      <b/>
      <sz val="11"/>
      <color rgb="FF000000"/>
      <name val="Calibri"/>
      <family val="2"/>
      <scheme val="minor"/>
    </font>
    <font>
      <sz val="11"/>
      <color rgb="FF000000"/>
      <name val="Calibri"/>
      <family val="2"/>
    </font>
    <font>
      <b/>
      <sz val="11"/>
      <color rgb="FF000000"/>
      <name val="Calibri"/>
      <family val="2"/>
    </font>
    <font>
      <b/>
      <sz val="11"/>
      <color rgb="FFC00000"/>
      <name val="Calibri"/>
      <family val="2"/>
      <scheme val="minor"/>
    </font>
    <font>
      <sz val="11"/>
      <color rgb="FF156082"/>
      <name val="Calibri"/>
      <family val="2"/>
      <scheme val="minor"/>
    </font>
    <font>
      <b/>
      <sz val="11"/>
      <color rgb="FF0070C0"/>
      <name val="Calibri"/>
      <family val="2"/>
      <scheme val="minor"/>
    </font>
    <font>
      <b/>
      <sz val="14"/>
      <color rgb="FFFFFFFF"/>
      <name val="Aptos Narrow"/>
      <family val="2"/>
    </font>
    <font>
      <sz val="11"/>
      <color rgb="FF000000"/>
      <name val="Aptos Narrow"/>
      <family val="2"/>
    </font>
    <font>
      <b/>
      <sz val="11"/>
      <name val="Calibri"/>
      <family val="2"/>
      <scheme val="minor"/>
    </font>
    <font>
      <sz val="11"/>
      <color theme="1"/>
      <name val="Calibri"/>
      <family val="2"/>
      <scheme val="minor"/>
    </font>
    <font>
      <b/>
      <sz val="10"/>
      <color indexed="9"/>
      <name val="Arial"/>
      <family val="2"/>
    </font>
    <font>
      <sz val="10"/>
      <color indexed="8"/>
      <name val="Arial"/>
      <family val="2"/>
    </font>
    <font>
      <sz val="10"/>
      <color indexed="63"/>
      <name val="Arial"/>
      <family val="2"/>
    </font>
    <font>
      <b/>
      <sz val="9"/>
      <color rgb="FF000000"/>
      <name val="Tahoma"/>
      <family val="2"/>
    </font>
    <font>
      <sz val="9"/>
      <color rgb="FF000000"/>
      <name val="Tahoma"/>
      <family val="2"/>
    </font>
    <font>
      <b/>
      <sz val="9"/>
      <name val="Tahoma"/>
      <family val="2"/>
    </font>
    <font>
      <sz val="9"/>
      <name val="Tahoma"/>
      <family val="2"/>
    </font>
    <font>
      <sz val="10"/>
      <color theme="8" tint="-0.249977111117893"/>
      <name val="Calibri"/>
      <family val="2"/>
      <scheme val="minor"/>
    </font>
    <font>
      <sz val="10"/>
      <color theme="8" tint="-0.249977111117893"/>
      <name val="Calibri (Body)"/>
      <charset val="134"/>
    </font>
    <font>
      <sz val="10"/>
      <color theme="1"/>
      <name val="Calibri"/>
      <family val="2"/>
      <scheme val="minor"/>
    </font>
    <font>
      <b/>
      <sz val="9"/>
      <color indexed="81"/>
      <name val="Tahoma"/>
      <family val="2"/>
    </font>
    <font>
      <sz val="9"/>
      <color indexed="81"/>
      <name val="Tahoma"/>
      <family val="2"/>
    </font>
    <font>
      <sz val="8"/>
      <color rgb="FF303030"/>
      <name val="Arial"/>
      <family val="2"/>
    </font>
    <font>
      <b/>
      <sz val="14"/>
      <name val="Cambria"/>
      <family val="1"/>
    </font>
    <font>
      <i/>
      <sz val="11"/>
      <name val="Cambria"/>
      <family val="1"/>
    </font>
    <font>
      <i/>
      <sz val="10"/>
      <name val="Cambria"/>
      <family val="1"/>
    </font>
    <font>
      <b/>
      <sz val="11"/>
      <color rgb="FFFFFFFF"/>
      <name val="Cambria"/>
      <family val="1"/>
    </font>
    <font>
      <b/>
      <sz val="11"/>
      <color rgb="FF000000"/>
      <name val="Cambria"/>
      <family val="1"/>
    </font>
    <font>
      <sz val="11"/>
      <color rgb="FF0000FF"/>
      <name val="Cambria"/>
      <family val="1"/>
    </font>
    <font>
      <sz val="11"/>
      <color rgb="FF000000"/>
      <name val="Cambria"/>
      <family val="1"/>
    </font>
    <font>
      <i/>
      <sz val="9"/>
      <name val="Cambria"/>
      <family val="1"/>
    </font>
    <font>
      <sz val="11"/>
      <name val="Cambria"/>
      <family val="1"/>
    </font>
  </fonts>
  <fills count="17">
    <fill>
      <patternFill patternType="none"/>
    </fill>
    <fill>
      <patternFill patternType="gray125"/>
    </fill>
    <fill>
      <patternFill patternType="solid">
        <fgColor rgb="FF4F81BD"/>
        <bgColor rgb="FF000000"/>
      </patternFill>
    </fill>
    <fill>
      <patternFill patternType="solid">
        <fgColor rgb="FFFFFFFF"/>
        <bgColor rgb="FF000000"/>
      </patternFill>
    </fill>
    <fill>
      <patternFill patternType="solid">
        <fgColor theme="4"/>
        <bgColor indexed="64"/>
      </patternFill>
    </fill>
    <fill>
      <patternFill patternType="solid">
        <fgColor rgb="FF156082"/>
        <bgColor rgb="FF000000"/>
      </patternFill>
    </fill>
    <fill>
      <patternFill patternType="solid">
        <fgColor rgb="FFC0E6F5"/>
        <bgColor rgb="FF000000"/>
      </patternFill>
    </fill>
    <fill>
      <patternFill patternType="solid">
        <fgColor theme="4" tint="0.59999389629810485"/>
        <bgColor indexed="64"/>
      </patternFill>
    </fill>
    <fill>
      <patternFill patternType="solid">
        <fgColor theme="4" tint="0.79995117038483843"/>
        <bgColor indexed="64"/>
      </patternFill>
    </fill>
    <fill>
      <patternFill patternType="solid">
        <fgColor theme="4" tint="0.39994506668294322"/>
        <bgColor indexed="64"/>
      </patternFill>
    </fill>
    <fill>
      <patternFill patternType="solid">
        <fgColor rgb="FF156082"/>
        <bgColor indexed="64"/>
      </patternFill>
    </fill>
    <fill>
      <patternFill patternType="solid">
        <fgColor rgb="FFFFFF00"/>
        <bgColor indexed="64"/>
      </patternFill>
    </fill>
    <fill>
      <patternFill patternType="solid">
        <fgColor theme="3" tint="0.89996032593768116"/>
        <bgColor indexed="64"/>
      </patternFill>
    </fill>
    <fill>
      <patternFill patternType="solid">
        <fgColor theme="4" tint="0.79995117038483843"/>
        <bgColor rgb="FF000000"/>
      </patternFill>
    </fill>
    <fill>
      <patternFill patternType="solid">
        <fgColor rgb="FF4F81BD"/>
        <bgColor indexed="64"/>
      </patternFill>
    </fill>
    <fill>
      <patternFill patternType="solid">
        <fgColor rgb="FFFFFFFF"/>
        <bgColor indexed="64"/>
      </patternFill>
    </fill>
    <fill>
      <patternFill patternType="solid">
        <fgColor rgb="FF4472C4"/>
        <bgColor rgb="FF666699"/>
      </patternFill>
    </fill>
  </fills>
  <borders count="40">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bottom style="thin">
        <color theme="0"/>
      </bottom>
      <diagonal/>
    </border>
    <border>
      <left/>
      <right/>
      <top/>
      <bottom style="thin">
        <color rgb="FFFFFFFF"/>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style="thin">
        <color rgb="FFFFFFFF"/>
      </bottom>
      <diagonal/>
    </border>
    <border>
      <left/>
      <right style="thin">
        <color rgb="FF000000"/>
      </right>
      <top/>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rgb="FF000000"/>
      </bottom>
      <diagonal/>
    </border>
    <border>
      <left style="thin">
        <color rgb="FF000000"/>
      </left>
      <right/>
      <top/>
      <bottom/>
      <diagonal/>
    </border>
    <border>
      <left style="thin">
        <color rgb="FF000000"/>
      </left>
      <right/>
      <top/>
      <bottom style="thin">
        <color auto="1"/>
      </bottom>
      <diagonal/>
    </border>
    <border>
      <left/>
      <right/>
      <top/>
      <bottom style="double">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43" fontId="44" fillId="0" borderId="0" applyFont="0" applyFill="0" applyBorder="0" applyAlignment="0" applyProtection="0"/>
    <xf numFmtId="44" fontId="44" fillId="0" borderId="0" applyFont="0" applyFill="0" applyBorder="0" applyAlignment="0" applyProtection="0"/>
    <xf numFmtId="9" fontId="44" fillId="0" borderId="0" applyFont="0" applyFill="0" applyBorder="0" applyAlignment="0" applyProtection="0"/>
    <xf numFmtId="164" fontId="32" fillId="0" borderId="0" applyFont="0" applyFill="0" applyBorder="0" applyAlignment="0" applyProtection="0"/>
    <xf numFmtId="0" fontId="45" fillId="14" borderId="2">
      <alignment horizontal="left"/>
    </xf>
    <xf numFmtId="0" fontId="45" fillId="14" borderId="1">
      <alignment horizontal="left"/>
    </xf>
    <xf numFmtId="4" fontId="46" fillId="15" borderId="4">
      <alignment horizontal="right"/>
    </xf>
    <xf numFmtId="0" fontId="47" fillId="15" borderId="3"/>
    <xf numFmtId="0" fontId="32" fillId="0" borderId="0"/>
    <xf numFmtId="9" fontId="32" fillId="0" borderId="0" applyFont="0" applyFill="0" applyBorder="0" applyAlignment="0" applyProtection="0"/>
  </cellStyleXfs>
  <cellXfs count="334">
    <xf numFmtId="0" fontId="0" fillId="0" borderId="0" xfId="0"/>
    <xf numFmtId="0" fontId="3" fillId="2" borderId="1" xfId="6" applyFont="1" applyFill="1">
      <alignment horizontal="left"/>
    </xf>
    <xf numFmtId="0" fontId="3" fillId="2" borderId="2" xfId="5" applyFont="1" applyFill="1">
      <alignment horizontal="left"/>
    </xf>
    <xf numFmtId="14" fontId="3" fillId="2" borderId="2" xfId="5" applyNumberFormat="1" applyFont="1" applyFill="1">
      <alignment horizontal="left"/>
    </xf>
    <xf numFmtId="0" fontId="4" fillId="3" borderId="3" xfId="8" applyFont="1" applyFill="1"/>
    <xf numFmtId="4" fontId="5" fillId="3" borderId="4" xfId="7" applyFont="1" applyFill="1">
      <alignment horizontal="right"/>
    </xf>
    <xf numFmtId="0" fontId="6" fillId="4" borderId="5" xfId="0" applyFont="1" applyFill="1" applyBorder="1"/>
    <xf numFmtId="0" fontId="7" fillId="5" borderId="0" xfId="0" applyFont="1" applyFill="1"/>
    <xf numFmtId="0" fontId="8" fillId="6" borderId="0" xfId="0" applyFont="1" applyFill="1"/>
    <xf numFmtId="0" fontId="9" fillId="5" borderId="3" xfId="0" applyFont="1" applyFill="1" applyBorder="1"/>
    <xf numFmtId="0" fontId="7" fillId="5" borderId="0" xfId="0" applyFont="1" applyFill="1" applyAlignment="1">
      <alignment horizontal="center"/>
    </xf>
    <xf numFmtId="165" fontId="11" fillId="6" borderId="0" xfId="0" applyNumberFormat="1" applyFont="1" applyFill="1" applyAlignment="1">
      <alignment horizontal="center"/>
    </xf>
    <xf numFmtId="0" fontId="12" fillId="0" borderId="3" xfId="0" applyFont="1" applyBorder="1"/>
    <xf numFmtId="166" fontId="0" fillId="0" borderId="0" xfId="0" applyNumberFormat="1"/>
    <xf numFmtId="0" fontId="13" fillId="0" borderId="3" xfId="0" applyFont="1" applyBorder="1" applyAlignment="1">
      <alignment horizontal="left" indent="1"/>
    </xf>
    <xf numFmtId="9" fontId="13" fillId="0" borderId="0" xfId="3" applyFont="1"/>
    <xf numFmtId="0" fontId="0" fillId="0" borderId="3" xfId="0" applyBorder="1"/>
    <xf numFmtId="166" fontId="13" fillId="0" borderId="0" xfId="0" applyNumberFormat="1" applyFont="1"/>
    <xf numFmtId="0" fontId="12" fillId="7" borderId="5" xfId="0" applyFont="1" applyFill="1" applyBorder="1"/>
    <xf numFmtId="166" fontId="12" fillId="7" borderId="8" xfId="0" applyNumberFormat="1" applyFont="1" applyFill="1" applyBorder="1"/>
    <xf numFmtId="0" fontId="12" fillId="7" borderId="9" xfId="0" applyFont="1" applyFill="1" applyBorder="1"/>
    <xf numFmtId="166" fontId="12" fillId="7" borderId="10" xfId="0" applyNumberFormat="1" applyFont="1" applyFill="1" applyBorder="1"/>
    <xf numFmtId="0" fontId="13" fillId="0" borderId="3" xfId="0" applyFont="1" applyBorder="1"/>
    <xf numFmtId="9" fontId="0" fillId="0" borderId="0" xfId="3" applyFont="1"/>
    <xf numFmtId="0" fontId="13" fillId="0" borderId="9" xfId="0" applyFont="1" applyBorder="1"/>
    <xf numFmtId="166" fontId="0" fillId="0" borderId="10" xfId="0" applyNumberFormat="1" applyBorder="1"/>
    <xf numFmtId="9" fontId="0" fillId="0" borderId="10" xfId="3" applyFont="1" applyBorder="1"/>
    <xf numFmtId="9" fontId="13" fillId="0" borderId="10" xfId="3" applyFont="1" applyBorder="1"/>
    <xf numFmtId="167" fontId="15" fillId="0" borderId="0" xfId="0" applyNumberFormat="1" applyFont="1" applyAlignment="1">
      <alignment horizontal="center"/>
    </xf>
    <xf numFmtId="10" fontId="12" fillId="0" borderId="0" xfId="0" applyNumberFormat="1" applyFont="1" applyAlignment="1">
      <alignment horizontal="center"/>
    </xf>
    <xf numFmtId="167" fontId="0" fillId="0" borderId="5" xfId="0" applyNumberFormat="1" applyBorder="1"/>
    <xf numFmtId="167" fontId="0" fillId="0" borderId="8" xfId="0" applyNumberFormat="1" applyBorder="1"/>
    <xf numFmtId="167" fontId="0" fillId="0" borderId="14" xfId="0" applyNumberFormat="1" applyBorder="1"/>
    <xf numFmtId="167" fontId="0" fillId="0" borderId="3" xfId="0" applyNumberFormat="1" applyBorder="1"/>
    <xf numFmtId="167" fontId="0" fillId="8" borderId="0" xfId="0" applyNumberFormat="1" applyFill="1"/>
    <xf numFmtId="167" fontId="0" fillId="0" borderId="15" xfId="0" applyNumberFormat="1" applyBorder="1"/>
    <xf numFmtId="167" fontId="0" fillId="9" borderId="16" xfId="0" applyNumberFormat="1" applyFill="1" applyBorder="1"/>
    <xf numFmtId="167" fontId="0" fillId="0" borderId="9" xfId="0" applyNumberFormat="1" applyBorder="1"/>
    <xf numFmtId="167" fontId="0" fillId="0" borderId="10" xfId="0" applyNumberFormat="1" applyBorder="1"/>
    <xf numFmtId="167" fontId="0" fillId="0" borderId="17" xfId="0" applyNumberFormat="1" applyBorder="1"/>
    <xf numFmtId="0" fontId="8" fillId="6" borderId="15" xfId="0" applyFont="1" applyFill="1" applyBorder="1"/>
    <xf numFmtId="0" fontId="8" fillId="0" borderId="0" xfId="0" applyFont="1"/>
    <xf numFmtId="0" fontId="11" fillId="0" borderId="0" xfId="0" applyFont="1" applyAlignment="1">
      <alignment horizontal="center"/>
    </xf>
    <xf numFmtId="165" fontId="11" fillId="6" borderId="15" xfId="0" applyNumberFormat="1" applyFont="1" applyFill="1" applyBorder="1" applyAlignment="1">
      <alignment horizontal="center"/>
    </xf>
    <xf numFmtId="165" fontId="11" fillId="0" borderId="0" xfId="0" applyNumberFormat="1" applyFont="1" applyAlignment="1">
      <alignment horizontal="center"/>
    </xf>
    <xf numFmtId="166" fontId="0" fillId="0" borderId="19" xfId="0" applyNumberFormat="1" applyBorder="1"/>
    <xf numFmtId="3" fontId="0" fillId="0" borderId="0" xfId="0" applyNumberFormat="1"/>
    <xf numFmtId="168" fontId="16" fillId="0" borderId="15" xfId="0" applyNumberFormat="1" applyFont="1" applyBorder="1"/>
    <xf numFmtId="9" fontId="13" fillId="0" borderId="15" xfId="3" applyFont="1" applyBorder="1"/>
    <xf numFmtId="168" fontId="13" fillId="0" borderId="0" xfId="3" applyNumberFormat="1" applyFont="1" applyFill="1" applyBorder="1"/>
    <xf numFmtId="0" fontId="0" fillId="0" borderId="15" xfId="0" applyBorder="1"/>
    <xf numFmtId="166" fontId="0" fillId="0" borderId="15" xfId="0" applyNumberFormat="1" applyBorder="1"/>
    <xf numFmtId="168" fontId="0" fillId="0" borderId="15" xfId="0" applyNumberFormat="1" applyBorder="1"/>
    <xf numFmtId="169" fontId="0" fillId="0" borderId="15" xfId="0" applyNumberFormat="1" applyBorder="1"/>
    <xf numFmtId="43" fontId="0" fillId="0" borderId="0" xfId="1" applyFont="1" applyFill="1" applyBorder="1"/>
    <xf numFmtId="170" fontId="0" fillId="0" borderId="15" xfId="0" applyNumberFormat="1" applyBorder="1"/>
    <xf numFmtId="166" fontId="13" fillId="0" borderId="15" xfId="0" applyNumberFormat="1" applyFont="1" applyBorder="1"/>
    <xf numFmtId="9" fontId="13" fillId="0" borderId="0" xfId="0" applyNumberFormat="1" applyFont="1"/>
    <xf numFmtId="164" fontId="0" fillId="0" borderId="0" xfId="0" applyNumberFormat="1"/>
    <xf numFmtId="166" fontId="0" fillId="0" borderId="20" xfId="0" applyNumberFormat="1" applyBorder="1"/>
    <xf numFmtId="171" fontId="0" fillId="0" borderId="15" xfId="0" applyNumberFormat="1" applyBorder="1"/>
    <xf numFmtId="171" fontId="0" fillId="0" borderId="15" xfId="1" applyNumberFormat="1" applyFont="1" applyBorder="1"/>
    <xf numFmtId="167" fontId="12" fillId="0" borderId="0" xfId="0" applyNumberFormat="1" applyFont="1"/>
    <xf numFmtId="166" fontId="12" fillId="7" borderId="17" xfId="0" applyNumberFormat="1" applyFont="1" applyFill="1" applyBorder="1"/>
    <xf numFmtId="3" fontId="17" fillId="0" borderId="15" xfId="0" applyNumberFormat="1" applyFont="1" applyBorder="1"/>
    <xf numFmtId="172" fontId="13" fillId="0" borderId="0" xfId="0" applyNumberFormat="1" applyFont="1"/>
    <xf numFmtId="0" fontId="12" fillId="0" borderId="21" xfId="0" applyFont="1" applyBorder="1"/>
    <xf numFmtId="0" fontId="0" fillId="0" borderId="22" xfId="0" applyBorder="1"/>
    <xf numFmtId="167" fontId="12" fillId="0" borderId="23" xfId="0" applyNumberFormat="1" applyFont="1" applyBorder="1"/>
    <xf numFmtId="0" fontId="13" fillId="0" borderId="0" xfId="0" applyFont="1"/>
    <xf numFmtId="0" fontId="12" fillId="0" borderId="0" xfId="0" applyFont="1"/>
    <xf numFmtId="9" fontId="13" fillId="0" borderId="17" xfId="3" applyFont="1" applyBorder="1"/>
    <xf numFmtId="0" fontId="14" fillId="10" borderId="0" xfId="0" applyFont="1" applyFill="1"/>
    <xf numFmtId="0" fontId="18" fillId="10" borderId="0" xfId="0" applyFont="1" applyFill="1"/>
    <xf numFmtId="0" fontId="8" fillId="6" borderId="0" xfId="0" applyFont="1" applyFill="1" applyAlignment="1">
      <alignment horizontal="center"/>
    </xf>
    <xf numFmtId="166" fontId="19" fillId="0" borderId="0" xfId="0" applyNumberFormat="1" applyFont="1"/>
    <xf numFmtId="0" fontId="13" fillId="0" borderId="0" xfId="0" applyFont="1" applyAlignment="1">
      <alignment horizontal="left" indent="2"/>
    </xf>
    <xf numFmtId="0" fontId="12" fillId="0" borderId="10" xfId="0" applyFont="1" applyBorder="1"/>
    <xf numFmtId="10" fontId="12" fillId="0" borderId="10" xfId="3" applyNumberFormat="1" applyFont="1" applyBorder="1"/>
    <xf numFmtId="10" fontId="0" fillId="0" borderId="0" xfId="3" applyNumberFormat="1" applyFont="1"/>
    <xf numFmtId="9" fontId="0" fillId="0" borderId="0" xfId="0" applyNumberFormat="1"/>
    <xf numFmtId="10" fontId="12" fillId="0" borderId="0" xfId="0" applyNumberFormat="1" applyFont="1"/>
    <xf numFmtId="0" fontId="0" fillId="0" borderId="10" xfId="0" applyBorder="1"/>
    <xf numFmtId="10" fontId="12" fillId="8" borderId="0" xfId="0" applyNumberFormat="1" applyFont="1" applyFill="1"/>
    <xf numFmtId="0" fontId="6" fillId="10" borderId="0" xfId="0" applyFont="1" applyFill="1"/>
    <xf numFmtId="0" fontId="10" fillId="5" borderId="0" xfId="0" applyFont="1" applyFill="1"/>
    <xf numFmtId="0" fontId="11" fillId="6" borderId="0" xfId="0" applyFont="1" applyFill="1"/>
    <xf numFmtId="0" fontId="9" fillId="5" borderId="0" xfId="0" applyFont="1" applyFill="1"/>
    <xf numFmtId="0" fontId="18" fillId="5" borderId="0" xfId="0" applyFont="1" applyFill="1"/>
    <xf numFmtId="3" fontId="16" fillId="0" borderId="0" xfId="0" applyNumberFormat="1" applyFont="1"/>
    <xf numFmtId="3" fontId="8" fillId="0" borderId="0" xfId="0" applyNumberFormat="1" applyFont="1"/>
    <xf numFmtId="10" fontId="13" fillId="0" borderId="0" xfId="3" applyNumberFormat="1" applyFont="1"/>
    <xf numFmtId="10" fontId="20" fillId="0" borderId="0" xfId="0" applyNumberFormat="1" applyFont="1"/>
    <xf numFmtId="10" fontId="13" fillId="0" borderId="0" xfId="0" applyNumberFormat="1" applyFont="1"/>
    <xf numFmtId="173" fontId="21" fillId="0" borderId="0" xfId="0" applyNumberFormat="1" applyFont="1"/>
    <xf numFmtId="174" fontId="12" fillId="0" borderId="0" xfId="0" applyNumberFormat="1" applyFont="1"/>
    <xf numFmtId="168" fontId="21" fillId="0" borderId="0" xfId="0" applyNumberFormat="1" applyFont="1"/>
    <xf numFmtId="174" fontId="0" fillId="0" borderId="0" xfId="0" applyNumberFormat="1"/>
    <xf numFmtId="0" fontId="0" fillId="0" borderId="24" xfId="0" applyBorder="1"/>
    <xf numFmtId="10" fontId="13" fillId="0" borderId="24" xfId="0" applyNumberFormat="1" applyFont="1" applyBorder="1"/>
    <xf numFmtId="174" fontId="13" fillId="0" borderId="0" xfId="0" applyNumberFormat="1" applyFont="1"/>
    <xf numFmtId="0" fontId="22" fillId="0" borderId="0" xfId="0" applyFont="1"/>
    <xf numFmtId="10" fontId="23" fillId="0" borderId="0" xfId="0" applyNumberFormat="1" applyFont="1"/>
    <xf numFmtId="3" fontId="21" fillId="0" borderId="0" xfId="0" applyNumberFormat="1" applyFont="1"/>
    <xf numFmtId="174" fontId="0" fillId="0" borderId="24" xfId="0" applyNumberFormat="1" applyBorder="1"/>
    <xf numFmtId="0" fontId="11" fillId="6" borderId="0" xfId="0" applyFont="1" applyFill="1" applyAlignment="1">
      <alignment horizontal="center"/>
    </xf>
    <xf numFmtId="3" fontId="24" fillId="0" borderId="0" xfId="0" applyNumberFormat="1" applyFont="1"/>
    <xf numFmtId="174" fontId="0" fillId="0" borderId="0" xfId="1" applyNumberFormat="1" applyFont="1"/>
    <xf numFmtId="0" fontId="12" fillId="0" borderId="1" xfId="0" applyFont="1" applyBorder="1" applyAlignment="1">
      <alignment horizontal="center"/>
    </xf>
    <xf numFmtId="0" fontId="12" fillId="0" borderId="8" xfId="0" applyFon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3" fontId="0" fillId="0" borderId="8" xfId="0" applyNumberFormat="1" applyBorder="1" applyAlignment="1">
      <alignment horizontal="center"/>
    </xf>
    <xf numFmtId="0" fontId="0" fillId="0" borderId="3" xfId="0" applyBorder="1" applyAlignment="1">
      <alignment horizontal="center"/>
    </xf>
    <xf numFmtId="0" fontId="0" fillId="0" borderId="0" xfId="0" applyAlignment="1">
      <alignment horizontal="center"/>
    </xf>
    <xf numFmtId="3" fontId="0" fillId="0" borderId="0" xfId="0" applyNumberFormat="1" applyAlignment="1">
      <alignment horizontal="center"/>
    </xf>
    <xf numFmtId="0" fontId="0" fillId="0" borderId="9" xfId="0" applyBorder="1" applyAlignment="1">
      <alignment horizontal="center"/>
    </xf>
    <xf numFmtId="0" fontId="0" fillId="0" borderId="10" xfId="0" applyBorder="1" applyAlignment="1">
      <alignment horizontal="center"/>
    </xf>
    <xf numFmtId="3" fontId="0" fillId="0" borderId="10" xfId="0" applyNumberFormat="1" applyBorder="1" applyAlignment="1">
      <alignment horizontal="center"/>
    </xf>
    <xf numFmtId="0" fontId="12" fillId="0" borderId="11" xfId="0" applyFont="1" applyBorder="1"/>
    <xf numFmtId="168" fontId="12" fillId="0" borderId="13" xfId="3" applyNumberFormat="1" applyFont="1" applyBorder="1"/>
    <xf numFmtId="43" fontId="12" fillId="0" borderId="0" xfId="1" applyFont="1"/>
    <xf numFmtId="174" fontId="0" fillId="0" borderId="10" xfId="0" applyNumberFormat="1" applyBorder="1"/>
    <xf numFmtId="0" fontId="12" fillId="0" borderId="14" xfId="0" applyFont="1" applyBorder="1" applyAlignment="1">
      <alignment horizontal="center"/>
    </xf>
    <xf numFmtId="168" fontId="0" fillId="0" borderId="8" xfId="3" applyNumberFormat="1" applyFont="1" applyBorder="1" applyAlignment="1">
      <alignment horizontal="center"/>
    </xf>
    <xf numFmtId="168" fontId="0" fillId="0" borderId="14" xfId="3" applyNumberFormat="1" applyFont="1" applyBorder="1" applyAlignment="1">
      <alignment horizontal="center"/>
    </xf>
    <xf numFmtId="168" fontId="0" fillId="0" borderId="0" xfId="3" applyNumberFormat="1" applyFont="1" applyBorder="1" applyAlignment="1">
      <alignment horizontal="center"/>
    </xf>
    <xf numFmtId="168" fontId="0" fillId="0" borderId="15" xfId="3" applyNumberFormat="1" applyFont="1" applyBorder="1" applyAlignment="1">
      <alignment horizontal="center"/>
    </xf>
    <xf numFmtId="168" fontId="0" fillId="0" borderId="10" xfId="3" applyNumberFormat="1" applyFont="1" applyBorder="1" applyAlignment="1">
      <alignment horizontal="center"/>
    </xf>
    <xf numFmtId="168" fontId="0" fillId="0" borderId="17" xfId="3" applyNumberFormat="1" applyFont="1" applyBorder="1" applyAlignment="1">
      <alignment horizontal="center"/>
    </xf>
    <xf numFmtId="165" fontId="8" fillId="6" borderId="0" xfId="0" applyNumberFormat="1" applyFont="1" applyFill="1" applyAlignment="1">
      <alignment horizontal="center"/>
    </xf>
    <xf numFmtId="10" fontId="0" fillId="0" borderId="0" xfId="0" applyNumberFormat="1"/>
    <xf numFmtId="0" fontId="12" fillId="11" borderId="16" xfId="0" applyFont="1" applyFill="1" applyBorder="1"/>
    <xf numFmtId="0" fontId="0" fillId="0" borderId="16" xfId="0" applyBorder="1"/>
    <xf numFmtId="0" fontId="0" fillId="0" borderId="16" xfId="0" applyBorder="1" applyAlignment="1">
      <alignment wrapText="1"/>
    </xf>
    <xf numFmtId="0" fontId="0" fillId="11" borderId="0" xfId="0" applyFill="1"/>
    <xf numFmtId="0" fontId="0" fillId="0" borderId="0" xfId="0" applyAlignment="1">
      <alignment horizontal="center" vertical="center"/>
    </xf>
    <xf numFmtId="0" fontId="0" fillId="0" borderId="0" xfId="0" applyAlignment="1">
      <alignment wrapText="1"/>
    </xf>
    <xf numFmtId="0" fontId="25" fillId="0" borderId="0" xfId="0" applyFont="1" applyAlignment="1">
      <alignment vertical="center"/>
    </xf>
    <xf numFmtId="0" fontId="12" fillId="0" borderId="0" xfId="0" applyFont="1" applyAlignment="1">
      <alignment horizontal="center" vertical="center" wrapText="1"/>
    </xf>
    <xf numFmtId="0" fontId="0" fillId="0" borderId="0" xfId="0" applyAlignment="1">
      <alignment vertical="center" wrapText="1"/>
    </xf>
    <xf numFmtId="0" fontId="15" fillId="10" borderId="0" xfId="9" applyFont="1" applyFill="1"/>
    <xf numFmtId="0" fontId="0" fillId="10" borderId="0" xfId="0" applyFill="1"/>
    <xf numFmtId="0" fontId="14" fillId="10" borderId="0" xfId="9" applyFont="1" applyFill="1"/>
    <xf numFmtId="0" fontId="26" fillId="10" borderId="0" xfId="0" applyFont="1" applyFill="1"/>
    <xf numFmtId="166" fontId="21" fillId="0" borderId="0" xfId="0" applyNumberFormat="1" applyFont="1"/>
    <xf numFmtId="166" fontId="8" fillId="0" borderId="0" xfId="0" applyNumberFormat="1" applyFont="1"/>
    <xf numFmtId="9" fontId="27" fillId="0" borderId="0" xfId="0" applyNumberFormat="1" applyFont="1"/>
    <xf numFmtId="9" fontId="28" fillId="0" borderId="0" xfId="0" applyNumberFormat="1" applyFont="1"/>
    <xf numFmtId="9" fontId="29" fillId="0" borderId="0" xfId="3" applyFont="1"/>
    <xf numFmtId="0" fontId="0" fillId="0" borderId="0" xfId="0" applyAlignment="1">
      <alignment horizontal="left" indent="1"/>
    </xf>
    <xf numFmtId="168" fontId="0" fillId="0" borderId="0" xfId="3" applyNumberFormat="1" applyFont="1"/>
    <xf numFmtId="166" fontId="24" fillId="0" borderId="0" xfId="0" applyNumberFormat="1" applyFont="1"/>
    <xf numFmtId="9" fontId="29" fillId="0" borderId="0" xfId="0" applyNumberFormat="1" applyFont="1"/>
    <xf numFmtId="166" fontId="16" fillId="0" borderId="0" xfId="0" applyNumberFormat="1" applyFont="1"/>
    <xf numFmtId="9" fontId="13" fillId="0" borderId="0" xfId="3" applyFont="1" applyAlignment="1"/>
    <xf numFmtId="0" fontId="17" fillId="5" borderId="0" xfId="0" applyFont="1" applyFill="1"/>
    <xf numFmtId="0" fontId="30" fillId="5" borderId="0" xfId="0" applyFont="1" applyFill="1"/>
    <xf numFmtId="0" fontId="17" fillId="0" borderId="0" xfId="0" applyFont="1"/>
    <xf numFmtId="10" fontId="8" fillId="0" borderId="0" xfId="3" applyNumberFormat="1" applyFont="1"/>
    <xf numFmtId="6" fontId="31" fillId="0" borderId="0" xfId="0" applyNumberFormat="1" applyFont="1" applyAlignment="1">
      <alignment horizontal="right"/>
    </xf>
    <xf numFmtId="6" fontId="17" fillId="0" borderId="0" xfId="0" applyNumberFormat="1" applyFont="1"/>
    <xf numFmtId="6" fontId="32" fillId="0" borderId="0" xfId="0" applyNumberFormat="1" applyFont="1" applyAlignment="1">
      <alignment horizontal="right"/>
    </xf>
    <xf numFmtId="10" fontId="31" fillId="0" borderId="0" xfId="0" applyNumberFormat="1" applyFont="1" applyAlignment="1">
      <alignment horizontal="right"/>
    </xf>
    <xf numFmtId="0" fontId="28" fillId="0" borderId="0" xfId="0" applyFont="1"/>
    <xf numFmtId="6" fontId="33" fillId="0" borderId="0" xfId="0" applyNumberFormat="1" applyFont="1" applyAlignment="1">
      <alignment horizontal="right"/>
    </xf>
    <xf numFmtId="3" fontId="20" fillId="0" borderId="0" xfId="0" applyNumberFormat="1" applyFont="1"/>
    <xf numFmtId="9" fontId="20" fillId="0" borderId="0" xfId="3" applyFont="1"/>
    <xf numFmtId="9" fontId="21" fillId="0" borderId="0" xfId="3" applyFont="1"/>
    <xf numFmtId="175" fontId="0" fillId="0" borderId="0" xfId="0" applyNumberFormat="1"/>
    <xf numFmtId="9" fontId="21" fillId="0" borderId="0" xfId="3" applyFont="1" applyFill="1"/>
    <xf numFmtId="0" fontId="0" fillId="12" borderId="25" xfId="0" applyFill="1" applyBorder="1"/>
    <xf numFmtId="0" fontId="0" fillId="12" borderId="0" xfId="0" applyFill="1"/>
    <xf numFmtId="0" fontId="13" fillId="0" borderId="0" xfId="3" applyNumberFormat="1" applyFont="1"/>
    <xf numFmtId="0" fontId="34" fillId="5" borderId="0" xfId="0" applyFont="1" applyFill="1"/>
    <xf numFmtId="0" fontId="28" fillId="0" borderId="0" xfId="0" applyFont="1" applyAlignment="1">
      <alignment horizontal="left" indent="2"/>
    </xf>
    <xf numFmtId="0" fontId="28" fillId="0" borderId="10" xfId="0" applyFont="1" applyBorder="1" applyAlignment="1">
      <alignment horizontal="left" indent="2"/>
    </xf>
    <xf numFmtId="9" fontId="29" fillId="0" borderId="10" xfId="3" applyFont="1" applyBorder="1"/>
    <xf numFmtId="0" fontId="35" fillId="0" borderId="0" xfId="0" applyFont="1"/>
    <xf numFmtId="168" fontId="13" fillId="0" borderId="0" xfId="3" applyNumberFormat="1" applyFont="1"/>
    <xf numFmtId="168" fontId="29" fillId="0" borderId="0" xfId="3" applyNumberFormat="1" applyFont="1"/>
    <xf numFmtId="10" fontId="20" fillId="0" borderId="0" xfId="3" applyNumberFormat="1" applyFont="1"/>
    <xf numFmtId="10" fontId="29" fillId="0" borderId="0" xfId="3" applyNumberFormat="1" applyFont="1"/>
    <xf numFmtId="166" fontId="21" fillId="0" borderId="10" xfId="0" applyNumberFormat="1" applyFont="1" applyBorder="1"/>
    <xf numFmtId="0" fontId="0" fillId="8" borderId="0" xfId="0" applyFill="1"/>
    <xf numFmtId="166" fontId="19" fillId="8" borderId="0" xfId="0" applyNumberFormat="1" applyFont="1" applyFill="1"/>
    <xf numFmtId="166" fontId="0" fillId="8" borderId="0" xfId="0" applyNumberFormat="1" applyFill="1"/>
    <xf numFmtId="0" fontId="13" fillId="8" borderId="0" xfId="0" applyFont="1" applyFill="1" applyAlignment="1">
      <alignment horizontal="left" indent="2"/>
    </xf>
    <xf numFmtId="9" fontId="13" fillId="8" borderId="0" xfId="3" applyFont="1" applyFill="1"/>
    <xf numFmtId="9" fontId="29" fillId="8" borderId="0" xfId="3" applyFont="1" applyFill="1"/>
    <xf numFmtId="0" fontId="0" fillId="0" borderId="10" xfId="0" applyBorder="1" applyAlignment="1">
      <alignment horizontal="left" indent="2"/>
    </xf>
    <xf numFmtId="0" fontId="12" fillId="0" borderId="27" xfId="0" applyFont="1" applyBorder="1"/>
    <xf numFmtId="166" fontId="21" fillId="0" borderId="27" xfId="0" applyNumberFormat="1" applyFont="1" applyBorder="1"/>
    <xf numFmtId="166" fontId="0" fillId="0" borderId="27" xfId="0" applyNumberFormat="1" applyBorder="1"/>
    <xf numFmtId="0" fontId="13" fillId="0" borderId="10" xfId="0" applyFont="1" applyBorder="1" applyAlignment="1">
      <alignment horizontal="left" indent="2"/>
    </xf>
    <xf numFmtId="4" fontId="21" fillId="0" borderId="0" xfId="0" applyNumberFormat="1" applyFont="1"/>
    <xf numFmtId="0" fontId="17" fillId="0" borderId="12" xfId="0" applyFont="1" applyBorder="1"/>
    <xf numFmtId="166" fontId="36" fillId="0" borderId="0" xfId="0" applyNumberFormat="1" applyFont="1"/>
    <xf numFmtId="166" fontId="36" fillId="0" borderId="10" xfId="0" applyNumberFormat="1" applyFont="1" applyBorder="1"/>
    <xf numFmtId="166" fontId="37" fillId="0" borderId="0" xfId="0" applyNumberFormat="1" applyFont="1"/>
    <xf numFmtId="0" fontId="35" fillId="0" borderId="10" xfId="0" applyFont="1" applyBorder="1"/>
    <xf numFmtId="0" fontId="35" fillId="0" borderId="24" xfId="0" applyFont="1" applyBorder="1"/>
    <xf numFmtId="176" fontId="21" fillId="0" borderId="0" xfId="0" applyNumberFormat="1" applyFont="1"/>
    <xf numFmtId="44" fontId="21" fillId="0" borderId="0" xfId="2" applyFont="1"/>
    <xf numFmtId="176" fontId="0" fillId="0" borderId="0" xfId="0" applyNumberFormat="1"/>
    <xf numFmtId="0" fontId="17" fillId="0" borderId="10" xfId="0" applyFont="1" applyBorder="1"/>
    <xf numFmtId="176" fontId="21" fillId="0" borderId="10" xfId="0" applyNumberFormat="1" applyFont="1" applyBorder="1"/>
    <xf numFmtId="44" fontId="21" fillId="0" borderId="10" xfId="2" applyFont="1" applyBorder="1"/>
    <xf numFmtId="176" fontId="0" fillId="0" borderId="10" xfId="0" applyNumberFormat="1" applyBorder="1"/>
    <xf numFmtId="44" fontId="0" fillId="0" borderId="0" xfId="2" applyFont="1"/>
    <xf numFmtId="0" fontId="12" fillId="13" borderId="0" xfId="0" applyFont="1" applyFill="1"/>
    <xf numFmtId="44" fontId="38" fillId="8" borderId="0" xfId="2" applyFont="1" applyFill="1"/>
    <xf numFmtId="177" fontId="0" fillId="0" borderId="0" xfId="0" applyNumberFormat="1"/>
    <xf numFmtId="0" fontId="12" fillId="0" borderId="0" xfId="0" applyFont="1" applyAlignment="1">
      <alignment horizontal="left" indent="1"/>
    </xf>
    <xf numFmtId="0" fontId="0" fillId="0" borderId="0" xfId="0" applyAlignment="1">
      <alignment horizontal="left" indent="3"/>
    </xf>
    <xf numFmtId="0" fontId="13" fillId="0" borderId="0" xfId="0" applyFont="1" applyAlignment="1">
      <alignment horizontal="left" indent="5"/>
    </xf>
    <xf numFmtId="1" fontId="13" fillId="0" borderId="0" xfId="3" applyNumberFormat="1" applyFont="1"/>
    <xf numFmtId="1" fontId="29" fillId="0" borderId="0" xfId="3" applyNumberFormat="1" applyFont="1"/>
    <xf numFmtId="166" fontId="21" fillId="0" borderId="0" xfId="3" applyNumberFormat="1" applyFont="1"/>
    <xf numFmtId="166" fontId="39" fillId="0" borderId="0" xfId="3" applyNumberFormat="1" applyFont="1"/>
    <xf numFmtId="166" fontId="0" fillId="0" borderId="0" xfId="3" applyNumberFormat="1" applyFont="1"/>
    <xf numFmtId="166" fontId="13" fillId="0" borderId="0" xfId="3" applyNumberFormat="1" applyFont="1"/>
    <xf numFmtId="166" fontId="29" fillId="0" borderId="0" xfId="3" applyNumberFormat="1" applyFont="1"/>
    <xf numFmtId="0" fontId="12" fillId="0" borderId="27" xfId="0" applyFont="1" applyBorder="1" applyAlignment="1">
      <alignment horizontal="left" indent="1"/>
    </xf>
    <xf numFmtId="166" fontId="21" fillId="0" borderId="0" xfId="3" applyNumberFormat="1" applyFont="1" applyBorder="1"/>
    <xf numFmtId="166" fontId="0" fillId="0" borderId="0" xfId="3" applyNumberFormat="1" applyFont="1" applyBorder="1"/>
    <xf numFmtId="0" fontId="0" fillId="0" borderId="10" xfId="0" applyBorder="1" applyAlignment="1">
      <alignment horizontal="left" indent="3"/>
    </xf>
    <xf numFmtId="166" fontId="21" fillId="0" borderId="10" xfId="3" applyNumberFormat="1" applyFont="1" applyBorder="1"/>
    <xf numFmtId="166" fontId="0" fillId="0" borderId="10" xfId="3" applyNumberFormat="1" applyFont="1" applyBorder="1"/>
    <xf numFmtId="166" fontId="40" fillId="0" borderId="27" xfId="0" applyNumberFormat="1" applyFont="1" applyBorder="1"/>
    <xf numFmtId="166" fontId="12" fillId="0" borderId="27" xfId="0" applyNumberFormat="1" applyFont="1" applyBorder="1"/>
    <xf numFmtId="0" fontId="0" fillId="7" borderId="0" xfId="0" applyFill="1"/>
    <xf numFmtId="174" fontId="0" fillId="7" borderId="0" xfId="0" applyNumberFormat="1" applyFill="1"/>
    <xf numFmtId="178" fontId="0" fillId="7" borderId="0" xfId="0" applyNumberFormat="1" applyFill="1"/>
    <xf numFmtId="0" fontId="41" fillId="5" borderId="0" xfId="0" applyFont="1" applyFill="1"/>
    <xf numFmtId="0" fontId="22" fillId="0" borderId="8" xfId="0" applyFont="1" applyBorder="1"/>
    <xf numFmtId="0" fontId="42" fillId="0" borderId="0" xfId="0" applyFont="1" applyAlignment="1">
      <alignment horizontal="left" indent="1"/>
    </xf>
    <xf numFmtId="0" fontId="42" fillId="0" borderId="0" xfId="0" applyFont="1" applyAlignment="1">
      <alignment horizontal="left" indent="3"/>
    </xf>
    <xf numFmtId="0" fontId="42" fillId="0" borderId="12" xfId="0" applyFont="1" applyBorder="1" applyAlignment="1">
      <alignment horizontal="left" indent="3"/>
    </xf>
    <xf numFmtId="166" fontId="8" fillId="0" borderId="12" xfId="0" applyNumberFormat="1" applyFont="1" applyBorder="1"/>
    <xf numFmtId="0" fontId="22" fillId="0" borderId="12" xfId="0" applyFont="1" applyBorder="1"/>
    <xf numFmtId="0" fontId="22" fillId="0" borderId="28" xfId="0" applyFont="1" applyBorder="1"/>
    <xf numFmtId="166" fontId="43" fillId="0" borderId="28" xfId="0" applyNumberFormat="1" applyFont="1" applyBorder="1"/>
    <xf numFmtId="0" fontId="42" fillId="0" borderId="0" xfId="0" applyFont="1"/>
    <xf numFmtId="0" fontId="0" fillId="0" borderId="0" xfId="0" quotePrefix="1"/>
    <xf numFmtId="168" fontId="8" fillId="0" borderId="0" xfId="3" applyNumberFormat="1" applyFont="1"/>
    <xf numFmtId="166" fontId="52" fillId="0" borderId="0" xfId="0" applyNumberFormat="1" applyFont="1"/>
    <xf numFmtId="166" fontId="53" fillId="0" borderId="0" xfId="0" applyNumberFormat="1" applyFont="1"/>
    <xf numFmtId="3" fontId="53" fillId="0" borderId="0" xfId="0" applyNumberFormat="1" applyFont="1"/>
    <xf numFmtId="166" fontId="54" fillId="0" borderId="0" xfId="0" applyNumberFormat="1" applyFont="1"/>
    <xf numFmtId="166" fontId="54" fillId="0" borderId="12" xfId="0" applyNumberFormat="1" applyFont="1" applyBorder="1"/>
    <xf numFmtId="0" fontId="54" fillId="0" borderId="0" xfId="0" applyFont="1"/>
    <xf numFmtId="179" fontId="13" fillId="0" borderId="0" xfId="2" applyNumberFormat="1" applyFont="1"/>
    <xf numFmtId="9" fontId="27" fillId="0" borderId="0" xfId="3" applyFont="1"/>
    <xf numFmtId="168" fontId="27" fillId="0" borderId="0" xfId="3" applyNumberFormat="1" applyFont="1"/>
    <xf numFmtId="172" fontId="29" fillId="0" borderId="0" xfId="3" applyNumberFormat="1" applyFont="1"/>
    <xf numFmtId="166" fontId="21" fillId="0" borderId="8" xfId="0" applyNumberFormat="1" applyFont="1" applyBorder="1"/>
    <xf numFmtId="166" fontId="0" fillId="0" borderId="8" xfId="0" applyNumberFormat="1" applyBorder="1"/>
    <xf numFmtId="2" fontId="0" fillId="0" borderId="0" xfId="0" applyNumberFormat="1"/>
    <xf numFmtId="172" fontId="0" fillId="0" borderId="15" xfId="0" applyNumberFormat="1" applyBorder="1"/>
    <xf numFmtId="166" fontId="21" fillId="0" borderId="0" xfId="3" applyNumberFormat="1" applyFont="1" applyFill="1"/>
    <xf numFmtId="180" fontId="0" fillId="7" borderId="0" xfId="0" applyNumberFormat="1" applyFill="1"/>
    <xf numFmtId="166" fontId="0" fillId="0" borderId="30" xfId="0" applyNumberFormat="1" applyBorder="1"/>
    <xf numFmtId="166" fontId="0" fillId="0" borderId="31" xfId="0" applyNumberFormat="1" applyBorder="1"/>
    <xf numFmtId="10" fontId="21" fillId="0" borderId="0" xfId="3" applyNumberFormat="1" applyFont="1"/>
    <xf numFmtId="0" fontId="57" fillId="0" borderId="0" xfId="0" applyFont="1" applyAlignment="1">
      <alignment vertical="center" wrapText="1"/>
    </xf>
    <xf numFmtId="0" fontId="59" fillId="0" borderId="0" xfId="0" applyFont="1"/>
    <xf numFmtId="0" fontId="60" fillId="0" borderId="0" xfId="0" applyFont="1"/>
    <xf numFmtId="0" fontId="61" fillId="16" borderId="0" xfId="0" applyFont="1" applyFill="1"/>
    <xf numFmtId="0" fontId="62" fillId="0" borderId="16" xfId="0" applyFont="1" applyBorder="1"/>
    <xf numFmtId="0" fontId="62" fillId="11" borderId="4" xfId="0" applyFont="1" applyFill="1" applyBorder="1"/>
    <xf numFmtId="4" fontId="63" fillId="0" borderId="16" xfId="0" applyNumberFormat="1" applyFont="1" applyBorder="1"/>
    <xf numFmtId="4" fontId="63" fillId="0" borderId="4" xfId="0" applyNumberFormat="1" applyFont="1" applyBorder="1"/>
    <xf numFmtId="173" fontId="63" fillId="0" borderId="16" xfId="0" applyNumberFormat="1" applyFont="1" applyBorder="1"/>
    <xf numFmtId="3" fontId="64" fillId="0" borderId="16" xfId="0" applyNumberFormat="1" applyFont="1" applyBorder="1"/>
    <xf numFmtId="3" fontId="63" fillId="0" borderId="16" xfId="0" applyNumberFormat="1" applyFont="1" applyBorder="1"/>
    <xf numFmtId="3" fontId="63" fillId="0" borderId="4" xfId="0" applyNumberFormat="1" applyFont="1" applyBorder="1"/>
    <xf numFmtId="168" fontId="64" fillId="0" borderId="16" xfId="0" applyNumberFormat="1" applyFont="1" applyBorder="1"/>
    <xf numFmtId="181" fontId="64" fillId="0" borderId="16" xfId="0" applyNumberFormat="1" applyFont="1" applyBorder="1"/>
    <xf numFmtId="181" fontId="64" fillId="0" borderId="0" xfId="0" applyNumberFormat="1" applyFont="1"/>
    <xf numFmtId="0" fontId="0" fillId="0" borderId="29" xfId="0" applyBorder="1"/>
    <xf numFmtId="9" fontId="64" fillId="0" borderId="31" xfId="3" applyFont="1" applyBorder="1"/>
    <xf numFmtId="182" fontId="64" fillId="0" borderId="16" xfId="0" applyNumberFormat="1" applyFont="1" applyBorder="1"/>
    <xf numFmtId="0" fontId="65" fillId="0" borderId="0" xfId="0" applyFont="1"/>
    <xf numFmtId="0" fontId="62" fillId="0" borderId="1" xfId="0" applyFont="1" applyBorder="1"/>
    <xf numFmtId="4" fontId="66" fillId="0" borderId="16" xfId="0" applyNumberFormat="1" applyFont="1" applyBorder="1"/>
    <xf numFmtId="9" fontId="0" fillId="0" borderId="0" xfId="3" applyFont="1" applyBorder="1"/>
    <xf numFmtId="9" fontId="0" fillId="0" borderId="36" xfId="3" applyFont="1" applyBorder="1"/>
    <xf numFmtId="0" fontId="0" fillId="0" borderId="35" xfId="0" applyBorder="1"/>
    <xf numFmtId="0" fontId="0" fillId="0" borderId="36" xfId="0" applyBorder="1"/>
    <xf numFmtId="0" fontId="0" fillId="0" borderId="38" xfId="0" applyBorder="1"/>
    <xf numFmtId="4" fontId="63" fillId="0" borderId="38" xfId="0" applyNumberFormat="1" applyFont="1" applyBorder="1"/>
    <xf numFmtId="2" fontId="0" fillId="0" borderId="38" xfId="3" applyNumberFormat="1" applyFont="1" applyBorder="1"/>
    <xf numFmtId="1" fontId="0" fillId="0" borderId="16" xfId="0" applyNumberFormat="1" applyBorder="1"/>
    <xf numFmtId="43" fontId="0" fillId="0" borderId="16" xfId="1" applyFont="1" applyBorder="1"/>
    <xf numFmtId="43" fontId="0" fillId="0" borderId="0" xfId="1" applyFont="1" applyBorder="1"/>
    <xf numFmtId="168" fontId="0" fillId="0" borderId="0" xfId="3" applyNumberFormat="1" applyFont="1" applyFill="1"/>
    <xf numFmtId="4" fontId="63" fillId="0" borderId="0" xfId="0" applyNumberFormat="1" applyFont="1"/>
    <xf numFmtId="10" fontId="0" fillId="0" borderId="39" xfId="3" applyNumberFormat="1" applyFont="1" applyBorder="1"/>
    <xf numFmtId="0" fontId="2" fillId="0" borderId="0" xfId="0" applyFont="1"/>
    <xf numFmtId="0" fontId="2" fillId="0" borderId="12" xfId="0" applyFont="1" applyBorder="1"/>
    <xf numFmtId="0" fontId="2" fillId="0" borderId="29" xfId="0" applyFont="1" applyBorder="1"/>
    <xf numFmtId="0" fontId="2" fillId="0" borderId="0" xfId="0" applyFont="1" applyAlignment="1">
      <alignment wrapText="1"/>
    </xf>
    <xf numFmtId="0" fontId="2" fillId="0" borderId="16" xfId="0" applyFont="1" applyBorder="1"/>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xf numFmtId="0" fontId="2" fillId="0" borderId="36" xfId="0" applyFont="1" applyBorder="1"/>
    <xf numFmtId="0" fontId="2" fillId="0" borderId="37" xfId="0" applyFont="1" applyBorder="1"/>
    <xf numFmtId="0" fontId="7" fillId="5" borderId="7" xfId="0" applyFont="1" applyFill="1" applyBorder="1" applyAlignment="1">
      <alignment horizontal="center"/>
    </xf>
    <xf numFmtId="0" fontId="8" fillId="6" borderId="7" xfId="0" applyFont="1" applyFill="1" applyBorder="1" applyAlignment="1">
      <alignment horizontal="center"/>
    </xf>
    <xf numFmtId="0" fontId="12" fillId="12" borderId="25" xfId="0" applyFont="1" applyFill="1" applyBorder="1" applyAlignment="1">
      <alignment horizontal="center"/>
    </xf>
    <xf numFmtId="0" fontId="12" fillId="12" borderId="0" xfId="0" applyFont="1" applyFill="1" applyAlignment="1">
      <alignment horizontal="center"/>
    </xf>
    <xf numFmtId="0" fontId="12" fillId="12" borderId="26" xfId="0" applyFont="1" applyFill="1" applyBorder="1" applyAlignment="1">
      <alignment horizontal="center"/>
    </xf>
    <xf numFmtId="0" fontId="12" fillId="12" borderId="10" xfId="0" applyFont="1" applyFill="1" applyBorder="1" applyAlignment="1">
      <alignment horizontal="center"/>
    </xf>
    <xf numFmtId="0" fontId="10" fillId="5" borderId="6" xfId="0" applyFont="1" applyFill="1" applyBorder="1" applyAlignment="1">
      <alignment horizontal="center"/>
    </xf>
    <xf numFmtId="0" fontId="11" fillId="6" borderId="7" xfId="0" applyFont="1" applyFill="1" applyBorder="1" applyAlignment="1">
      <alignment horizontal="center"/>
    </xf>
    <xf numFmtId="0" fontId="6" fillId="10" borderId="0" xfId="0" applyFont="1" applyFill="1" applyAlignment="1">
      <alignment horizontal="left"/>
    </xf>
    <xf numFmtId="0" fontId="12" fillId="0" borderId="1" xfId="0" applyFont="1" applyBorder="1" applyAlignment="1">
      <alignment horizontal="center" vertical="center" textRotation="90"/>
    </xf>
    <xf numFmtId="0" fontId="12" fillId="0" borderId="4" xfId="0" applyFont="1" applyBorder="1" applyAlignment="1">
      <alignment horizontal="center" vertical="center" textRotation="90"/>
    </xf>
    <xf numFmtId="0" fontId="12" fillId="0" borderId="2" xfId="0" applyFont="1" applyBorder="1" applyAlignment="1">
      <alignment horizontal="center" vertical="center" textRotation="90"/>
    </xf>
    <xf numFmtId="0" fontId="11" fillId="6" borderId="18" xfId="0" applyFont="1" applyFill="1" applyBorder="1" applyAlignment="1">
      <alignment horizontal="center"/>
    </xf>
    <xf numFmtId="0" fontId="14" fillId="4" borderId="5" xfId="0" applyFont="1" applyFill="1" applyBorder="1" applyAlignment="1">
      <alignment horizontal="center"/>
    </xf>
    <xf numFmtId="0" fontId="14" fillId="4" borderId="8" xfId="0" applyFont="1" applyFill="1" applyBorder="1" applyAlignment="1">
      <alignment horizontal="center"/>
    </xf>
    <xf numFmtId="0" fontId="14" fillId="4" borderId="14" xfId="0" applyFont="1" applyFill="1" applyBorder="1" applyAlignment="1">
      <alignment horizontal="center"/>
    </xf>
    <xf numFmtId="0" fontId="14" fillId="4" borderId="0" xfId="0" applyFont="1" applyFill="1" applyAlignment="1">
      <alignment horizont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58" fillId="0" borderId="0" xfId="0" applyFont="1"/>
    <xf numFmtId="0" fontId="61" fillId="16" borderId="0" xfId="0" applyFont="1" applyFill="1"/>
    <xf numFmtId="0" fontId="61" fillId="16" borderId="0" xfId="0" applyFont="1" applyFill="1" applyAlignment="1">
      <alignment horizontal="center"/>
    </xf>
    <xf numFmtId="0" fontId="1" fillId="8" borderId="0" xfId="0" applyFont="1" applyFill="1"/>
  </cellXfs>
  <cellStyles count="11">
    <cellStyle name="Comma" xfId="1" builtinId="3"/>
    <cellStyle name="Comma 2" xfId="4" xr:uid="{00000000-0005-0000-0000-000031000000}"/>
    <cellStyle name="Currency" xfId="2" builtinId="4"/>
    <cellStyle name="fa_column_header_bottom_left" xfId="5" xr:uid="{00000000-0005-0000-0000-000032000000}"/>
    <cellStyle name="fa_column_header_top_left" xfId="6" xr:uid="{00000000-0005-0000-0000-000033000000}"/>
    <cellStyle name="fa_data_standard_2_grouped" xfId="7" xr:uid="{00000000-0005-0000-0000-000034000000}"/>
    <cellStyle name="fa_row_header_standard" xfId="8" xr:uid="{00000000-0005-0000-0000-000035000000}"/>
    <cellStyle name="Normal" xfId="0" builtinId="0"/>
    <cellStyle name="Normal 2" xfId="9" xr:uid="{00000000-0005-0000-0000-000036000000}"/>
    <cellStyle name="Percent" xfId="3" builtinId="5"/>
    <cellStyle name="Percent 2" xfId="10" xr:uid="{00000000-0005-0000-0000-000037000000}"/>
  </cellStyles>
  <dxfs count="0"/>
  <tableStyles count="0" defaultTableStyle="TableStyleMedium2" defaultPivotStyle="PivotStyleLight16"/>
  <colors>
    <mruColors>
      <color rgb="FF124B65"/>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Charts!$A$2</c:f>
              <c:strCache>
                <c:ptCount val="1"/>
                <c:pt idx="0">
                  <c:v>Total Revenue </c:v>
                </c:pt>
              </c:strCache>
            </c:strRef>
          </c:tx>
          <c:spPr>
            <a:solidFill>
              <a:srgbClr val="3054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Charts!$B$1:$F$1</c:f>
              <c:strCache>
                <c:ptCount val="5"/>
                <c:pt idx="0">
                  <c:v>FY21</c:v>
                </c:pt>
                <c:pt idx="1">
                  <c:v>FY22</c:v>
                </c:pt>
                <c:pt idx="2">
                  <c:v>FY23</c:v>
                </c:pt>
                <c:pt idx="3">
                  <c:v>FY24</c:v>
                </c:pt>
                <c:pt idx="4">
                  <c:v>FY25</c:v>
                </c:pt>
              </c:strCache>
            </c:strRef>
          </c:cat>
          <c:val>
            <c:numRef>
              <c:f>Charts!$B$2:$F$2</c:f>
              <c:numCache>
                <c:formatCode>#,##0_);\(#,##0\);\-</c:formatCode>
                <c:ptCount val="5"/>
                <c:pt idx="0">
                  <c:v>221728</c:v>
                </c:pt>
                <c:pt idx="1">
                  <c:v>548372</c:v>
                </c:pt>
                <c:pt idx="2">
                  <c:v>730506</c:v>
                </c:pt>
                <c:pt idx="3">
                  <c:v>909270</c:v>
                </c:pt>
                <c:pt idx="4">
                  <c:v>1076826</c:v>
                </c:pt>
              </c:numCache>
            </c:numRef>
          </c:val>
          <c:extLst>
            <c:ext xmlns:c16="http://schemas.microsoft.com/office/drawing/2014/chart" uri="{C3380CC4-5D6E-409C-BE32-E72D297353CC}">
              <c16:uniqueId val="{00000000-E793-4C84-9400-2CB03C773CC0}"/>
            </c:ext>
          </c:extLst>
        </c:ser>
        <c:dLbls>
          <c:showLegendKey val="0"/>
          <c:showVal val="0"/>
          <c:showCatName val="0"/>
          <c:showSerName val="0"/>
          <c:showPercent val="0"/>
          <c:showBubbleSize val="0"/>
        </c:dLbls>
        <c:gapWidth val="150"/>
        <c:axId val="1406378503"/>
        <c:axId val="1406381063"/>
      </c:barChart>
      <c:lineChart>
        <c:grouping val="standard"/>
        <c:varyColors val="0"/>
        <c:ser>
          <c:idx val="1"/>
          <c:order val="1"/>
          <c:tx>
            <c:strRef>
              <c:f>Charts!$A$3</c:f>
              <c:strCache>
                <c:ptCount val="1"/>
                <c:pt idx="0">
                  <c:v>Gross Profit margin (%)</c:v>
                </c:pt>
              </c:strCache>
            </c:strRef>
          </c:tx>
          <c:spPr>
            <a:ln w="28575" cap="rnd">
              <a:solidFill>
                <a:srgbClr val="C00000"/>
              </a:solidFill>
              <a:prstDash val="solid"/>
              <a:round/>
            </a:ln>
            <a:effectLst/>
          </c:spPr>
          <c:marker>
            <c:symbol val="none"/>
          </c:marker>
          <c:cat>
            <c:strRef>
              <c:f>Charts!$B$1:$F$1</c:f>
              <c:strCache>
                <c:ptCount val="5"/>
                <c:pt idx="0">
                  <c:v>FY21</c:v>
                </c:pt>
                <c:pt idx="1">
                  <c:v>FY22</c:v>
                </c:pt>
                <c:pt idx="2">
                  <c:v>FY23</c:v>
                </c:pt>
                <c:pt idx="3">
                  <c:v>FY24</c:v>
                </c:pt>
                <c:pt idx="4">
                  <c:v>FY25</c:v>
                </c:pt>
              </c:strCache>
            </c:strRef>
          </c:cat>
          <c:val>
            <c:numRef>
              <c:f>Charts!$B$3:$F$3</c:f>
              <c:numCache>
                <c:formatCode>0%</c:formatCode>
                <c:ptCount val="5"/>
                <c:pt idx="0">
                  <c:v>0.57579105931591856</c:v>
                </c:pt>
                <c:pt idx="1">
                  <c:v>0.49450555462350376</c:v>
                </c:pt>
                <c:pt idx="2">
                  <c:v>0.45442611012092987</c:v>
                </c:pt>
                <c:pt idx="3">
                  <c:v>0.42369153276804472</c:v>
                </c:pt>
                <c:pt idx="4">
                  <c:v>0.41808518739332073</c:v>
                </c:pt>
              </c:numCache>
            </c:numRef>
          </c:val>
          <c:smooth val="0"/>
          <c:extLst>
            <c:ext xmlns:c16="http://schemas.microsoft.com/office/drawing/2014/chart" uri="{C3380CC4-5D6E-409C-BE32-E72D297353CC}">
              <c16:uniqueId val="{00000002-E793-4C84-9400-2CB03C773CC0}"/>
            </c:ext>
          </c:extLst>
        </c:ser>
        <c:dLbls>
          <c:showLegendKey val="0"/>
          <c:showVal val="0"/>
          <c:showCatName val="0"/>
          <c:showSerName val="0"/>
          <c:showPercent val="0"/>
          <c:showBubbleSize val="0"/>
        </c:dLbls>
        <c:marker val="1"/>
        <c:smooth val="0"/>
        <c:axId val="1406388743"/>
        <c:axId val="1406369287"/>
      </c:lineChart>
      <c:catAx>
        <c:axId val="1406378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6381063"/>
        <c:crosses val="autoZero"/>
        <c:auto val="1"/>
        <c:lblAlgn val="ctr"/>
        <c:lblOffset val="100"/>
        <c:noMultiLvlLbl val="0"/>
      </c:catAx>
      <c:valAx>
        <c:axId val="1406381063"/>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6378503"/>
        <c:crosses val="autoZero"/>
        <c:crossBetween val="between"/>
      </c:valAx>
      <c:valAx>
        <c:axId val="1406369287"/>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6388743"/>
        <c:crosses val="max"/>
        <c:crossBetween val="between"/>
      </c:valAx>
      <c:catAx>
        <c:axId val="1406388743"/>
        <c:scaling>
          <c:orientation val="minMax"/>
        </c:scaling>
        <c:delete val="1"/>
        <c:axPos val="b"/>
        <c:numFmt formatCode="General" sourceLinked="1"/>
        <c:majorTickMark val="none"/>
        <c:minorTickMark val="none"/>
        <c:tickLblPos val="nextTo"/>
        <c:crossAx val="140636928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Geographical Revenue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1"/>
          <c:order val="0"/>
          <c:tx>
            <c:strRef>
              <c:f>Charts!$A$30</c:f>
              <c:strCache>
                <c:ptCount val="1"/>
                <c:pt idx="0">
                  <c:v>United States</c:v>
                </c:pt>
              </c:strCache>
            </c:strRef>
          </c:tx>
          <c:spPr>
            <a:solidFill>
              <a:srgbClr val="C00000"/>
            </a:solidFill>
            <a:ln>
              <a:noFill/>
            </a:ln>
            <a:effectLst/>
          </c:spPr>
          <c:invertIfNegative val="0"/>
          <c:cat>
            <c:numRef>
              <c:f>Charts!$B$29:$F$29</c:f>
              <c:numCache>
                <c:formatCode>General</c:formatCode>
                <c:ptCount val="5"/>
                <c:pt idx="0">
                  <c:v>2021</c:v>
                </c:pt>
                <c:pt idx="1">
                  <c:v>2022</c:v>
                </c:pt>
                <c:pt idx="2">
                  <c:v>2023</c:v>
                </c:pt>
                <c:pt idx="3">
                  <c:v>2024</c:v>
                </c:pt>
                <c:pt idx="4">
                  <c:v>2025</c:v>
                </c:pt>
              </c:numCache>
            </c:numRef>
          </c:cat>
          <c:val>
            <c:numRef>
              <c:f>Charts!$B$30:$F$30</c:f>
              <c:numCache>
                <c:formatCode>0%</c:formatCode>
                <c:ptCount val="5"/>
                <c:pt idx="0">
                  <c:v>0.64</c:v>
                </c:pt>
                <c:pt idx="1">
                  <c:v>0.72</c:v>
                </c:pt>
                <c:pt idx="2">
                  <c:v>0.72</c:v>
                </c:pt>
                <c:pt idx="3">
                  <c:v>0.68</c:v>
                </c:pt>
                <c:pt idx="4">
                  <c:v>0.64</c:v>
                </c:pt>
              </c:numCache>
            </c:numRef>
          </c:val>
          <c:extLst>
            <c:ext xmlns:c16="http://schemas.microsoft.com/office/drawing/2014/chart" uri="{C3380CC4-5D6E-409C-BE32-E72D297353CC}">
              <c16:uniqueId val="{0000000D-FA2B-44EF-8CB2-9AEC8869D244}"/>
            </c:ext>
          </c:extLst>
        </c:ser>
        <c:ser>
          <c:idx val="2"/>
          <c:order val="1"/>
          <c:tx>
            <c:strRef>
              <c:f>Charts!$A$31</c:f>
              <c:strCache>
                <c:ptCount val="1"/>
                <c:pt idx="0">
                  <c:v>Canada</c:v>
                </c:pt>
              </c:strCache>
            </c:strRef>
          </c:tx>
          <c:spPr>
            <a:solidFill>
              <a:schemeClr val="accent3"/>
            </a:solidFill>
            <a:ln>
              <a:noFill/>
            </a:ln>
            <a:effectLst/>
          </c:spPr>
          <c:invertIfNegative val="0"/>
          <c:cat>
            <c:numRef>
              <c:f>Charts!$B$29:$F$29</c:f>
              <c:numCache>
                <c:formatCode>General</c:formatCode>
                <c:ptCount val="5"/>
                <c:pt idx="0">
                  <c:v>2021</c:v>
                </c:pt>
                <c:pt idx="1">
                  <c:v>2022</c:v>
                </c:pt>
                <c:pt idx="2">
                  <c:v>2023</c:v>
                </c:pt>
                <c:pt idx="3">
                  <c:v>2024</c:v>
                </c:pt>
                <c:pt idx="4">
                  <c:v>2025</c:v>
                </c:pt>
              </c:numCache>
            </c:numRef>
          </c:cat>
          <c:val>
            <c:numRef>
              <c:f>Charts!$B$31:$F$31</c:f>
              <c:numCache>
                <c:formatCode>0%</c:formatCode>
                <c:ptCount val="5"/>
                <c:pt idx="0">
                  <c:v>0.08</c:v>
                </c:pt>
                <c:pt idx="1">
                  <c:v>0.06</c:v>
                </c:pt>
                <c:pt idx="2">
                  <c:v>0.06</c:v>
                </c:pt>
                <c:pt idx="3">
                  <c:v>7.0000000000000007E-2</c:v>
                </c:pt>
                <c:pt idx="4">
                  <c:v>0.08</c:v>
                </c:pt>
              </c:numCache>
            </c:numRef>
          </c:val>
          <c:extLst>
            <c:ext xmlns:c16="http://schemas.microsoft.com/office/drawing/2014/chart" uri="{C3380CC4-5D6E-409C-BE32-E72D297353CC}">
              <c16:uniqueId val="{0000000F-FA2B-44EF-8CB2-9AEC8869D244}"/>
            </c:ext>
          </c:extLst>
        </c:ser>
        <c:ser>
          <c:idx val="3"/>
          <c:order val="2"/>
          <c:tx>
            <c:strRef>
              <c:f>Charts!$A$32</c:f>
              <c:strCache>
                <c:ptCount val="1"/>
                <c:pt idx="0">
                  <c:v>Australia</c:v>
                </c:pt>
              </c:strCache>
            </c:strRef>
          </c:tx>
          <c:spPr>
            <a:solidFill>
              <a:srgbClr val="203764"/>
            </a:solidFill>
            <a:ln>
              <a:noFill/>
            </a:ln>
            <a:effectLst/>
          </c:spPr>
          <c:invertIfNegative val="0"/>
          <c:cat>
            <c:numRef>
              <c:f>Charts!$B$29:$F$29</c:f>
              <c:numCache>
                <c:formatCode>General</c:formatCode>
                <c:ptCount val="5"/>
                <c:pt idx="0">
                  <c:v>2021</c:v>
                </c:pt>
                <c:pt idx="1">
                  <c:v>2022</c:v>
                </c:pt>
                <c:pt idx="2">
                  <c:v>2023</c:v>
                </c:pt>
                <c:pt idx="3">
                  <c:v>2024</c:v>
                </c:pt>
                <c:pt idx="4">
                  <c:v>2025</c:v>
                </c:pt>
              </c:numCache>
            </c:numRef>
          </c:cat>
          <c:val>
            <c:numRef>
              <c:f>Charts!$B$32:$F$32</c:f>
              <c:numCache>
                <c:formatCode>0%</c:formatCode>
                <c:ptCount val="5"/>
                <c:pt idx="0">
                  <c:v>0.06</c:v>
                </c:pt>
                <c:pt idx="1">
                  <c:v>0.05</c:v>
                </c:pt>
                <c:pt idx="2">
                  <c:v>0.06</c:v>
                </c:pt>
                <c:pt idx="3">
                  <c:v>7.0000000000000007E-2</c:v>
                </c:pt>
                <c:pt idx="4">
                  <c:v>0.08</c:v>
                </c:pt>
              </c:numCache>
            </c:numRef>
          </c:val>
          <c:extLst>
            <c:ext xmlns:c16="http://schemas.microsoft.com/office/drawing/2014/chart" uri="{C3380CC4-5D6E-409C-BE32-E72D297353CC}">
              <c16:uniqueId val="{00000011-FA2B-44EF-8CB2-9AEC8869D244}"/>
            </c:ext>
          </c:extLst>
        </c:ser>
        <c:ser>
          <c:idx val="4"/>
          <c:order val="3"/>
          <c:tx>
            <c:strRef>
              <c:f>Charts!$A$33</c:f>
              <c:strCache>
                <c:ptCount val="1"/>
                <c:pt idx="0">
                  <c:v>United Kingdom</c:v>
                </c:pt>
              </c:strCache>
            </c:strRef>
          </c:tx>
          <c:spPr>
            <a:solidFill>
              <a:schemeClr val="accent5"/>
            </a:solidFill>
            <a:ln>
              <a:noFill/>
            </a:ln>
            <a:effectLst/>
          </c:spPr>
          <c:invertIfNegative val="0"/>
          <c:cat>
            <c:numRef>
              <c:f>Charts!$B$29:$F$29</c:f>
              <c:numCache>
                <c:formatCode>General</c:formatCode>
                <c:ptCount val="5"/>
                <c:pt idx="0">
                  <c:v>2021</c:v>
                </c:pt>
                <c:pt idx="1">
                  <c:v>2022</c:v>
                </c:pt>
                <c:pt idx="2">
                  <c:v>2023</c:v>
                </c:pt>
                <c:pt idx="3">
                  <c:v>2024</c:v>
                </c:pt>
                <c:pt idx="4">
                  <c:v>2025</c:v>
                </c:pt>
              </c:numCache>
            </c:numRef>
          </c:cat>
          <c:val>
            <c:numRef>
              <c:f>Charts!$B$33:$F$33</c:f>
              <c:numCache>
                <c:formatCode>0%</c:formatCode>
                <c:ptCount val="5"/>
                <c:pt idx="0">
                  <c:v>0</c:v>
                </c:pt>
                <c:pt idx="1">
                  <c:v>0</c:v>
                </c:pt>
                <c:pt idx="2">
                  <c:v>0.04</c:v>
                </c:pt>
                <c:pt idx="3">
                  <c:v>0.05</c:v>
                </c:pt>
                <c:pt idx="4">
                  <c:v>0.06</c:v>
                </c:pt>
              </c:numCache>
            </c:numRef>
          </c:val>
          <c:extLst>
            <c:ext xmlns:c16="http://schemas.microsoft.com/office/drawing/2014/chart" uri="{C3380CC4-5D6E-409C-BE32-E72D297353CC}">
              <c16:uniqueId val="{00000013-FA2B-44EF-8CB2-9AEC8869D244}"/>
            </c:ext>
          </c:extLst>
        </c:ser>
        <c:ser>
          <c:idx val="5"/>
          <c:order val="4"/>
          <c:tx>
            <c:strRef>
              <c:f>Charts!$A$34</c:f>
              <c:strCache>
                <c:ptCount val="1"/>
                <c:pt idx="0">
                  <c:v>Other</c:v>
                </c:pt>
              </c:strCache>
            </c:strRef>
          </c:tx>
          <c:spPr>
            <a:solidFill>
              <a:srgbClr val="FCE4D6"/>
            </a:solidFill>
            <a:ln>
              <a:noFill/>
            </a:ln>
            <a:effectLst/>
          </c:spPr>
          <c:invertIfNegative val="0"/>
          <c:cat>
            <c:numRef>
              <c:f>Charts!$B$29:$F$29</c:f>
              <c:numCache>
                <c:formatCode>General</c:formatCode>
                <c:ptCount val="5"/>
                <c:pt idx="0">
                  <c:v>2021</c:v>
                </c:pt>
                <c:pt idx="1">
                  <c:v>2022</c:v>
                </c:pt>
                <c:pt idx="2">
                  <c:v>2023</c:v>
                </c:pt>
                <c:pt idx="3">
                  <c:v>2024</c:v>
                </c:pt>
                <c:pt idx="4">
                  <c:v>2025</c:v>
                </c:pt>
              </c:numCache>
            </c:numRef>
          </c:cat>
          <c:val>
            <c:numRef>
              <c:f>Charts!$B$34:$F$34</c:f>
              <c:numCache>
                <c:formatCode>0%</c:formatCode>
                <c:ptCount val="5"/>
                <c:pt idx="0">
                  <c:v>0.16</c:v>
                </c:pt>
                <c:pt idx="1">
                  <c:v>0.13</c:v>
                </c:pt>
                <c:pt idx="2">
                  <c:v>0.11</c:v>
                </c:pt>
                <c:pt idx="3">
                  <c:v>0.12</c:v>
                </c:pt>
                <c:pt idx="4">
                  <c:v>0.14000000000000001</c:v>
                </c:pt>
              </c:numCache>
            </c:numRef>
          </c:val>
          <c:extLst>
            <c:ext xmlns:c16="http://schemas.microsoft.com/office/drawing/2014/chart" uri="{C3380CC4-5D6E-409C-BE32-E72D297353CC}">
              <c16:uniqueId val="{00000015-FA2B-44EF-8CB2-9AEC8869D244}"/>
            </c:ext>
          </c:extLst>
        </c:ser>
        <c:dLbls>
          <c:showLegendKey val="0"/>
          <c:showVal val="0"/>
          <c:showCatName val="0"/>
          <c:showSerName val="0"/>
          <c:showPercent val="0"/>
          <c:showBubbleSize val="0"/>
        </c:dLbls>
        <c:gapWidth val="150"/>
        <c:overlap val="100"/>
        <c:axId val="1033393160"/>
        <c:axId val="1033395208"/>
      </c:barChart>
      <c:catAx>
        <c:axId val="103339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395208"/>
        <c:crosses val="autoZero"/>
        <c:auto val="1"/>
        <c:lblAlgn val="ctr"/>
        <c:lblOffset val="100"/>
        <c:noMultiLvlLbl val="0"/>
      </c:catAx>
      <c:valAx>
        <c:axId val="1033395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393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419100</xdr:colOff>
      <xdr:row>0</xdr:row>
      <xdr:rowOff>0</xdr:rowOff>
    </xdr:from>
    <xdr:to>
      <xdr:col>16</xdr:col>
      <xdr:colOff>190500</xdr:colOff>
      <xdr:row>15</xdr:row>
      <xdr:rowOff>133350</xdr:rowOff>
    </xdr:to>
    <xdr:graphicFrame macro="">
      <xdr:nvGraphicFramePr>
        <xdr:cNvPr id="4" name="Chart 3">
          <a:extLst>
            <a:ext uri="{FF2B5EF4-FFF2-40B4-BE49-F238E27FC236}">
              <a16:creationId xmlns:a16="http://schemas.microsoft.com/office/drawing/2014/main" id="{B402A156-5758-B183-93A0-073392F3C7FF}"/>
            </a:ext>
            <a:ext uri="{147F2762-F138-4A5C-976F-8EAC2B608ADB}">
              <a16:predDERef xmlns:a16="http://schemas.microsoft.com/office/drawing/2014/main" pred="{4ACFEA08-96D1-E3E6-B9CD-F7B0AD7812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20</xdr:row>
      <xdr:rowOff>47625</xdr:rowOff>
    </xdr:from>
    <xdr:to>
      <xdr:col>14</xdr:col>
      <xdr:colOff>47625</xdr:colOff>
      <xdr:row>34</xdr:row>
      <xdr:rowOff>123825</xdr:rowOff>
    </xdr:to>
    <xdr:graphicFrame macro="">
      <xdr:nvGraphicFramePr>
        <xdr:cNvPr id="2" name="Chart 1">
          <a:extLst>
            <a:ext uri="{FF2B5EF4-FFF2-40B4-BE49-F238E27FC236}">
              <a16:creationId xmlns:a16="http://schemas.microsoft.com/office/drawing/2014/main" id="{3410AF28-9EC3-1391-D9ED-A4DA1981F897}"/>
            </a:ext>
            <a:ext uri="{147F2762-F138-4A5C-976F-8EAC2B608ADB}">
              <a16:predDERef xmlns:a16="http://schemas.microsoft.com/office/drawing/2014/main" pred="{B402A156-5758-B183-93A0-073392F3C7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16"/>
  <sheetViews>
    <sheetView tabSelected="1" workbookViewId="0"/>
  </sheetViews>
  <sheetFormatPr baseColWidth="10" defaultColWidth="11.5" defaultRowHeight="15" x14ac:dyDescent="0.2"/>
  <cols>
    <col min="2" max="2" width="53.33203125" customWidth="1"/>
    <col min="3" max="3" width="14.5" bestFit="1" customWidth="1"/>
    <col min="4" max="4" width="13" customWidth="1"/>
    <col min="5" max="5" width="14.1640625" customWidth="1"/>
    <col min="6" max="6" width="15.83203125" customWidth="1"/>
    <col min="8" max="8" width="13.5" bestFit="1" customWidth="1"/>
    <col min="12" max="12" width="11.6640625" bestFit="1" customWidth="1"/>
    <col min="13" max="13" width="17.5" customWidth="1"/>
  </cols>
  <sheetData>
    <row r="1" spans="1:27" ht="19" x14ac:dyDescent="0.25">
      <c r="A1" s="174" t="s">
        <v>0</v>
      </c>
      <c r="B1" s="174" t="s">
        <v>1</v>
      </c>
      <c r="C1" s="7"/>
      <c r="D1" s="7"/>
      <c r="E1" s="7"/>
      <c r="F1" s="7"/>
      <c r="G1" s="7"/>
      <c r="H1" s="8"/>
      <c r="I1" s="8"/>
      <c r="J1" s="8"/>
      <c r="K1" s="8"/>
      <c r="L1" s="8"/>
      <c r="M1" s="171"/>
      <c r="N1" s="172"/>
      <c r="O1" s="172"/>
      <c r="P1" s="172"/>
      <c r="Q1" s="172"/>
      <c r="R1" s="172"/>
      <c r="S1" s="172"/>
      <c r="T1" s="172"/>
      <c r="U1" s="172"/>
      <c r="V1" s="172"/>
      <c r="W1" s="172"/>
      <c r="X1" s="172"/>
      <c r="Y1" s="172"/>
      <c r="Z1" s="172"/>
      <c r="AA1" s="172"/>
    </row>
    <row r="2" spans="1:27" ht="19" x14ac:dyDescent="0.25">
      <c r="A2" s="174"/>
      <c r="B2" s="88" t="s">
        <v>2</v>
      </c>
      <c r="C2" s="310" t="s">
        <v>3</v>
      </c>
      <c r="D2" s="310"/>
      <c r="E2" s="310"/>
      <c r="F2" s="310"/>
      <c r="G2" s="310"/>
      <c r="H2" s="311" t="s">
        <v>4</v>
      </c>
      <c r="I2" s="311"/>
      <c r="J2" s="311"/>
      <c r="K2" s="311"/>
      <c r="L2" s="311"/>
      <c r="M2" s="312" t="s">
        <v>5</v>
      </c>
      <c r="N2" s="313"/>
      <c r="O2" s="313"/>
      <c r="P2" s="313"/>
      <c r="Q2" s="313"/>
      <c r="R2" s="313"/>
      <c r="S2" s="313"/>
      <c r="T2" s="313"/>
      <c r="U2" s="313"/>
      <c r="V2" s="313"/>
      <c r="W2" s="313"/>
      <c r="X2" s="313"/>
      <c r="Y2" s="313"/>
      <c r="Z2" s="313"/>
      <c r="AA2" s="313"/>
    </row>
    <row r="3" spans="1:27" ht="19" x14ac:dyDescent="0.25">
      <c r="A3" s="174"/>
      <c r="B3" s="88" t="s">
        <v>6</v>
      </c>
      <c r="C3" s="10" t="s">
        <v>7</v>
      </c>
      <c r="D3" s="10" t="s">
        <v>8</v>
      </c>
      <c r="E3" s="10" t="s">
        <v>9</v>
      </c>
      <c r="F3" s="10" t="s">
        <v>10</v>
      </c>
      <c r="G3" s="10" t="s">
        <v>11</v>
      </c>
      <c r="H3" s="74" t="s">
        <v>12</v>
      </c>
      <c r="I3" s="74" t="s">
        <v>13</v>
      </c>
      <c r="J3" s="74" t="s">
        <v>14</v>
      </c>
      <c r="K3" s="74" t="s">
        <v>15</v>
      </c>
      <c r="L3" s="74" t="s">
        <v>16</v>
      </c>
      <c r="M3" s="171"/>
      <c r="N3" s="172"/>
      <c r="O3" s="172"/>
      <c r="P3" s="172"/>
      <c r="Q3" s="172"/>
      <c r="R3" s="172"/>
      <c r="S3" s="172"/>
      <c r="T3" s="172"/>
      <c r="U3" s="172"/>
      <c r="V3" s="172"/>
      <c r="W3" s="172"/>
      <c r="X3" s="172"/>
      <c r="Y3" s="172"/>
      <c r="Z3" s="172"/>
      <c r="AA3" s="172"/>
    </row>
    <row r="4" spans="1:27" x14ac:dyDescent="0.2">
      <c r="B4" s="158" t="s">
        <v>17</v>
      </c>
      <c r="C4" s="145">
        <v>221728</v>
      </c>
      <c r="D4" s="145">
        <v>548372</v>
      </c>
      <c r="E4" s="145">
        <v>730506</v>
      </c>
      <c r="F4" s="145">
        <v>909270</v>
      </c>
      <c r="G4" s="145">
        <v>1076826</v>
      </c>
      <c r="H4" s="13">
        <f>'Revenue Forecast '!H32</f>
        <v>1362921.1269115929</v>
      </c>
      <c r="I4" s="13">
        <f>'Revenue Forecast '!I32</f>
        <v>1660890.0344038084</v>
      </c>
      <c r="J4" s="13">
        <f>'Revenue Forecast '!J32</f>
        <v>2033858.8850760725</v>
      </c>
      <c r="K4" s="13">
        <f>'Revenue Forecast '!K32</f>
        <v>2464648.9152737777</v>
      </c>
      <c r="L4" s="13">
        <f>'Revenue Forecast '!L32</f>
        <v>2955661.2391938828</v>
      </c>
      <c r="N4" s="23">
        <f>(L4/H4)^(1/4)-1</f>
        <v>0.21351733100481107</v>
      </c>
    </row>
    <row r="5" spans="1:27" s="69" customFormat="1" x14ac:dyDescent="0.2">
      <c r="B5" s="175" t="s">
        <v>18</v>
      </c>
      <c r="C5" s="17"/>
      <c r="D5" s="15">
        <f>(D4/C4)-1</f>
        <v>1.4731743397315631</v>
      </c>
      <c r="E5" s="15">
        <f t="shared" ref="E5:L5" si="0">(E4/D4)-1</f>
        <v>0.33213584938691243</v>
      </c>
      <c r="F5" s="15">
        <f t="shared" si="0"/>
        <v>0.24471256909594175</v>
      </c>
      <c r="G5" s="15">
        <f t="shared" si="0"/>
        <v>0.18427529776634</v>
      </c>
      <c r="H5" s="149">
        <f t="shared" si="0"/>
        <v>0.26568371019235504</v>
      </c>
      <c r="I5" s="149">
        <f t="shared" si="0"/>
        <v>0.21862520259511942</v>
      </c>
      <c r="J5" s="149">
        <f t="shared" si="0"/>
        <v>0.2245596294435861</v>
      </c>
      <c r="K5" s="149">
        <f t="shared" si="0"/>
        <v>0.21180920336151643</v>
      </c>
      <c r="L5" s="149">
        <f t="shared" si="0"/>
        <v>0.19922201530499217</v>
      </c>
    </row>
    <row r="6" spans="1:27" x14ac:dyDescent="0.2">
      <c r="B6" s="158" t="s">
        <v>19</v>
      </c>
      <c r="C6" s="145">
        <v>94059</v>
      </c>
      <c r="D6" s="145">
        <v>277199</v>
      </c>
      <c r="E6" s="145">
        <v>398545</v>
      </c>
      <c r="F6" s="145">
        <v>524020</v>
      </c>
      <c r="G6" s="145">
        <v>626621</v>
      </c>
      <c r="H6" s="13">
        <f>'Revenue Forecast '!H34</f>
        <v>775005.34985870391</v>
      </c>
      <c r="I6" s="13">
        <f>'Revenue Forecast '!I34</f>
        <v>955150.90709405101</v>
      </c>
      <c r="J6" s="13">
        <f>'Revenue Forecast '!J34</f>
        <v>1169420.5346306532</v>
      </c>
      <c r="K6" s="13">
        <f>'Revenue Forecast '!K34</f>
        <v>1407116.4162457176</v>
      </c>
      <c r="L6" s="13">
        <f>'Revenue Forecast '!L34</f>
        <v>1683509.557833446</v>
      </c>
    </row>
    <row r="7" spans="1:27" s="69" customFormat="1" x14ac:dyDescent="0.2">
      <c r="B7" s="176" t="s">
        <v>20</v>
      </c>
      <c r="C7" s="27">
        <f>C6/C4</f>
        <v>0.42420894068408138</v>
      </c>
      <c r="D7" s="27">
        <f>D6/D4</f>
        <v>0.50549444537649624</v>
      </c>
      <c r="E7" s="27">
        <f>E6/E4</f>
        <v>0.54557388987907007</v>
      </c>
      <c r="F7" s="27">
        <f t="shared" ref="F7:L7" si="1">F6/F4</f>
        <v>0.57630846723195528</v>
      </c>
      <c r="G7" s="27">
        <f t="shared" si="1"/>
        <v>0.58191481260667921</v>
      </c>
      <c r="H7" s="177">
        <f t="shared" si="1"/>
        <v>0.56863550982945132</v>
      </c>
      <c r="I7" s="177">
        <f t="shared" si="1"/>
        <v>0.57508377274171019</v>
      </c>
      <c r="J7" s="177">
        <f t="shared" si="1"/>
        <v>0.57497624009785386</v>
      </c>
      <c r="K7" s="177">
        <f t="shared" si="1"/>
        <v>0.57091961760785415</v>
      </c>
      <c r="L7" s="177">
        <f t="shared" si="1"/>
        <v>0.56958812989427732</v>
      </c>
    </row>
    <row r="8" spans="1:27" x14ac:dyDescent="0.2">
      <c r="B8" s="178" t="s">
        <v>21</v>
      </c>
      <c r="C8" s="145">
        <f>C4-C6</f>
        <v>127669</v>
      </c>
      <c r="D8" s="145">
        <f>D4-D6</f>
        <v>271173</v>
      </c>
      <c r="E8" s="145">
        <f t="shared" ref="E8:L8" si="2">E4-E6</f>
        <v>331961</v>
      </c>
      <c r="F8" s="145">
        <f t="shared" si="2"/>
        <v>385250</v>
      </c>
      <c r="G8" s="145">
        <f t="shared" si="2"/>
        <v>450205</v>
      </c>
      <c r="H8" s="13">
        <f t="shared" si="2"/>
        <v>587915.777052889</v>
      </c>
      <c r="I8" s="13">
        <f t="shared" si="2"/>
        <v>705739.1273097574</v>
      </c>
      <c r="J8" s="13">
        <f t="shared" si="2"/>
        <v>864438.35044541932</v>
      </c>
      <c r="K8" s="13">
        <f t="shared" si="2"/>
        <v>1057532.4990280601</v>
      </c>
      <c r="L8" s="13">
        <f t="shared" si="2"/>
        <v>1272151.6813604368</v>
      </c>
    </row>
    <row r="9" spans="1:27" s="69" customFormat="1" x14ac:dyDescent="0.2">
      <c r="B9" s="164" t="s">
        <v>22</v>
      </c>
      <c r="C9" s="15">
        <f>C8/C4</f>
        <v>0.57579105931591856</v>
      </c>
      <c r="D9" s="15">
        <f t="shared" ref="D9:L9" si="3">D8/D4</f>
        <v>0.49450555462350376</v>
      </c>
      <c r="E9" s="15">
        <f t="shared" si="3"/>
        <v>0.45442611012092987</v>
      </c>
      <c r="F9" s="15">
        <f t="shared" si="3"/>
        <v>0.42369153276804472</v>
      </c>
      <c r="G9" s="15">
        <f t="shared" si="3"/>
        <v>0.41808518739332073</v>
      </c>
      <c r="H9" s="15">
        <f t="shared" si="3"/>
        <v>0.43136449017054873</v>
      </c>
      <c r="I9" s="15">
        <f t="shared" si="3"/>
        <v>0.42491622725828981</v>
      </c>
      <c r="J9" s="15">
        <f t="shared" si="3"/>
        <v>0.42502375990214614</v>
      </c>
      <c r="K9" s="15">
        <f t="shared" si="3"/>
        <v>0.42908038239214591</v>
      </c>
      <c r="L9" s="15">
        <f t="shared" si="3"/>
        <v>0.43041187010572268</v>
      </c>
    </row>
    <row r="10" spans="1:27" x14ac:dyDescent="0.2">
      <c r="C10" s="13"/>
      <c r="D10" s="13"/>
      <c r="E10" s="13"/>
      <c r="F10" s="13"/>
      <c r="G10" s="13"/>
      <c r="H10" s="13"/>
      <c r="I10" s="13"/>
      <c r="J10" s="13"/>
      <c r="K10" s="13"/>
      <c r="L10" s="13"/>
    </row>
    <row r="11" spans="1:27" x14ac:dyDescent="0.2">
      <c r="B11" s="70" t="s">
        <v>23</v>
      </c>
      <c r="C11" s="13"/>
      <c r="D11" s="13"/>
      <c r="E11" s="13"/>
      <c r="F11" s="13"/>
      <c r="G11" s="13"/>
      <c r="H11" s="13"/>
      <c r="I11" s="13"/>
      <c r="J11" s="13"/>
      <c r="K11" s="13"/>
      <c r="L11" s="13"/>
    </row>
    <row r="12" spans="1:27" x14ac:dyDescent="0.2">
      <c r="B12" t="s">
        <v>24</v>
      </c>
      <c r="C12" s="145">
        <v>53035</v>
      </c>
      <c r="D12" s="145">
        <v>95253</v>
      </c>
      <c r="E12" s="145">
        <v>105939</v>
      </c>
      <c r="F12" s="145">
        <v>103742</v>
      </c>
      <c r="G12" s="145">
        <v>115139</v>
      </c>
      <c r="H12" s="13">
        <f>H13*H4</f>
        <v>132100.34543872165</v>
      </c>
      <c r="I12" s="13">
        <f t="shared" ref="I12:L12" si="4">I13*I4</f>
        <v>152676.36005112837</v>
      </c>
      <c r="J12" s="13">
        <f t="shared" si="4"/>
        <v>176792.01246362494</v>
      </c>
      <c r="K12" s="13">
        <f t="shared" si="4"/>
        <v>201914.94320785571</v>
      </c>
      <c r="L12" s="13">
        <f t="shared" si="4"/>
        <v>242140.84511391781</v>
      </c>
    </row>
    <row r="13" spans="1:27" s="69" customFormat="1" x14ac:dyDescent="0.2">
      <c r="B13" s="76" t="s">
        <v>25</v>
      </c>
      <c r="C13" s="15">
        <f>C12/C4</f>
        <v>0.23918945735315342</v>
      </c>
      <c r="D13" s="15">
        <f t="shared" ref="D13:G13" si="5">D12/D4</f>
        <v>0.1737014289569854</v>
      </c>
      <c r="E13" s="15">
        <f t="shared" si="5"/>
        <v>0.14502139612816323</v>
      </c>
      <c r="F13" s="15">
        <f t="shared" si="5"/>
        <v>0.11409372353646331</v>
      </c>
      <c r="G13" s="15">
        <f t="shared" si="5"/>
        <v>0.10692442418738032</v>
      </c>
      <c r="H13" s="253">
        <f>G13-0.01</f>
        <v>9.6924424187380329E-2</v>
      </c>
      <c r="I13" s="254">
        <f>H13-0.005</f>
        <v>9.1924424187380324E-2</v>
      </c>
      <c r="J13" s="254">
        <f>I13-0.005</f>
        <v>8.692442418738032E-2</v>
      </c>
      <c r="K13" s="254">
        <f>J13-0.005</f>
        <v>8.1924424187380315E-2</v>
      </c>
      <c r="L13" s="254">
        <f>K13</f>
        <v>8.1924424187380315E-2</v>
      </c>
      <c r="M13" t="s">
        <v>26</v>
      </c>
    </row>
    <row r="14" spans="1:27" x14ac:dyDescent="0.2">
      <c r="B14" t="s">
        <v>27</v>
      </c>
      <c r="C14" s="145">
        <v>55303</v>
      </c>
      <c r="D14" s="145">
        <v>121150</v>
      </c>
      <c r="E14" s="145">
        <v>140442</v>
      </c>
      <c r="F14" s="145">
        <v>129416</v>
      </c>
      <c r="G14" s="145">
        <v>120335</v>
      </c>
      <c r="H14" s="13">
        <f>H4*H15</f>
        <v>190808.95776762301</v>
      </c>
      <c r="I14" s="13">
        <f t="shared" ref="I14:L14" si="6">I4*I15</f>
        <v>215915.7044724951</v>
      </c>
      <c r="J14" s="13">
        <f t="shared" si="6"/>
        <v>244063.06620912871</v>
      </c>
      <c r="K14" s="13">
        <f t="shared" si="6"/>
        <v>271111.3806801156</v>
      </c>
      <c r="L14" s="13">
        <f t="shared" si="6"/>
        <v>310344.43011535774</v>
      </c>
    </row>
    <row r="15" spans="1:27" s="69" customFormat="1" x14ac:dyDescent="0.2">
      <c r="B15" s="76" t="s">
        <v>28</v>
      </c>
      <c r="C15" s="15">
        <f>C14/C4</f>
        <v>0.24941820609034493</v>
      </c>
      <c r="D15" s="15">
        <f>D14/D4</f>
        <v>0.22092667021656831</v>
      </c>
      <c r="E15" s="15">
        <f t="shared" ref="E15:G15" si="7">E14/E4</f>
        <v>0.19225304104278404</v>
      </c>
      <c r="F15" s="15">
        <f t="shared" si="7"/>
        <v>0.14232956107646794</v>
      </c>
      <c r="G15" s="15">
        <f t="shared" si="7"/>
        <v>0.11174971629585467</v>
      </c>
      <c r="H15" s="254">
        <v>0.14000000000000001</v>
      </c>
      <c r="I15" s="254">
        <f>H15-0.01</f>
        <v>0.13</v>
      </c>
      <c r="J15" s="254">
        <f t="shared" ref="J15:K15" si="8">I15-0.01</f>
        <v>0.12000000000000001</v>
      </c>
      <c r="K15" s="254">
        <f t="shared" si="8"/>
        <v>0.11000000000000001</v>
      </c>
      <c r="L15" s="254">
        <f>K15-0.005</f>
        <v>0.10500000000000001</v>
      </c>
      <c r="M15" s="299" t="s">
        <v>29</v>
      </c>
    </row>
    <row r="16" spans="1:27" x14ac:dyDescent="0.2">
      <c r="B16" t="s">
        <v>30</v>
      </c>
      <c r="C16" s="145">
        <v>96900</v>
      </c>
      <c r="D16" s="145">
        <v>216659</v>
      </c>
      <c r="E16" s="145">
        <v>250371</v>
      </c>
      <c r="F16" s="145">
        <v>234290</v>
      </c>
      <c r="G16" s="145">
        <v>234844</v>
      </c>
      <c r="H16" s="13">
        <f>H4*H17</f>
        <v>327101.07045878231</v>
      </c>
      <c r="I16" s="13">
        <f t="shared" ref="I16:L16" si="9">I4*I17</f>
        <v>365395.80756883783</v>
      </c>
      <c r="J16" s="13">
        <f t="shared" si="9"/>
        <v>406771.77701521455</v>
      </c>
      <c r="K16" s="13">
        <f t="shared" si="9"/>
        <v>468283.29390201776</v>
      </c>
      <c r="L16" s="13">
        <f t="shared" si="9"/>
        <v>532019.02305489883</v>
      </c>
    </row>
    <row r="17" spans="2:14" s="69" customFormat="1" x14ac:dyDescent="0.2">
      <c r="B17" s="76" t="s">
        <v>31</v>
      </c>
      <c r="C17" s="15">
        <f>C16/C4</f>
        <v>0.43702193678741519</v>
      </c>
      <c r="D17" s="15">
        <f>D16/D4</f>
        <v>0.39509493555469644</v>
      </c>
      <c r="E17" s="15">
        <f t="shared" ref="E17:G17" si="10">E16/E4</f>
        <v>0.34273640462912008</v>
      </c>
      <c r="F17" s="15">
        <f t="shared" si="10"/>
        <v>0.25766823935684668</v>
      </c>
      <c r="G17" s="15">
        <f t="shared" si="10"/>
        <v>0.21808908774490957</v>
      </c>
      <c r="H17" s="254">
        <v>0.24</v>
      </c>
      <c r="I17" s="254">
        <f t="shared" ref="I17:J17" si="11">H17-0.02</f>
        <v>0.22</v>
      </c>
      <c r="J17" s="254">
        <f t="shared" si="11"/>
        <v>0.2</v>
      </c>
      <c r="K17" s="254">
        <f>J17-0.01</f>
        <v>0.19</v>
      </c>
      <c r="L17" s="254">
        <f>K17-0.01</f>
        <v>0.18</v>
      </c>
    </row>
    <row r="18" spans="2:14" x14ac:dyDescent="0.2">
      <c r="B18" t="s">
        <v>32</v>
      </c>
      <c r="C18" s="145">
        <v>2479</v>
      </c>
      <c r="D18" s="145">
        <v>4993</v>
      </c>
      <c r="E18" s="145">
        <v>5471</v>
      </c>
      <c r="F18" s="145">
        <v>6634</v>
      </c>
      <c r="G18" s="145">
        <v>7339</v>
      </c>
      <c r="H18" s="13">
        <f>'Depreciation Schedules '!H18</f>
        <v>2897.4498994467217</v>
      </c>
      <c r="I18" s="13">
        <f>'Depreciation Schedules '!I18</f>
        <v>3451.0799109146578</v>
      </c>
      <c r="J18" s="13">
        <f>'Depreciation Schedules '!J18</f>
        <v>4129.0328726066818</v>
      </c>
      <c r="K18" s="13">
        <f>'Depreciation Schedules '!K18</f>
        <v>4950.5825110312744</v>
      </c>
      <c r="L18" s="13">
        <f>'Depreciation Schedules '!L18</f>
        <v>5935.8029240959022</v>
      </c>
      <c r="M18" t="s">
        <v>33</v>
      </c>
      <c r="N18" t="s">
        <v>0</v>
      </c>
    </row>
    <row r="19" spans="2:14" x14ac:dyDescent="0.2">
      <c r="B19" s="76" t="s">
        <v>34</v>
      </c>
      <c r="C19" s="179">
        <f>C18/C4</f>
        <v>1.1180365132053687E-2</v>
      </c>
      <c r="D19" s="179">
        <f>D18/D4</f>
        <v>9.1051330118970333E-3</v>
      </c>
      <c r="E19" s="179">
        <f t="shared" ref="E19:L19" si="12">E18/E4</f>
        <v>7.4893293142013892E-3</v>
      </c>
      <c r="F19" s="179">
        <f t="shared" si="12"/>
        <v>7.2959626953490167E-3</v>
      </c>
      <c r="G19" s="179">
        <f t="shared" si="12"/>
        <v>6.8154000739209493E-3</v>
      </c>
      <c r="H19" s="179">
        <f t="shared" si="12"/>
        <v>2.1259116483228948E-3</v>
      </c>
      <c r="I19" s="179">
        <f t="shared" si="12"/>
        <v>2.0778497308242654E-3</v>
      </c>
      <c r="J19" s="179">
        <f t="shared" si="12"/>
        <v>2.0301471763377742E-3</v>
      </c>
      <c r="K19" s="179">
        <f t="shared" si="12"/>
        <v>2.0086359888225112E-3</v>
      </c>
      <c r="L19" s="179">
        <f t="shared" si="12"/>
        <v>2.0082825614057224E-3</v>
      </c>
    </row>
    <row r="20" spans="2:14" x14ac:dyDescent="0.2">
      <c r="B20" t="s">
        <v>35</v>
      </c>
      <c r="C20" s="145">
        <v>3876</v>
      </c>
      <c r="D20" s="145">
        <v>7743</v>
      </c>
      <c r="E20" s="145">
        <v>8244</v>
      </c>
      <c r="F20" s="145">
        <v>7946</v>
      </c>
      <c r="G20" s="145">
        <v>5220</v>
      </c>
      <c r="H20" s="13">
        <f>'Depreciation Schedules '!H84</f>
        <v>6510.8099490495642</v>
      </c>
      <c r="I20" s="13">
        <f>'Depreciation Schedules '!I84</f>
        <v>8247.6067119506697</v>
      </c>
      <c r="J20" s="13">
        <f>'Depreciation Schedules '!J84</f>
        <v>10374.417912347668</v>
      </c>
      <c r="K20" s="13">
        <f>'Depreciation Schedules '!K84</f>
        <v>12951.707298801102</v>
      </c>
      <c r="L20" s="13">
        <f>'Depreciation Schedules '!L84</f>
        <v>16042.449470847958</v>
      </c>
      <c r="M20" t="s">
        <v>33</v>
      </c>
      <c r="N20" t="s">
        <v>0</v>
      </c>
    </row>
    <row r="21" spans="2:14" s="69" customFormat="1" x14ac:dyDescent="0.2">
      <c r="B21" s="76" t="s">
        <v>34</v>
      </c>
      <c r="C21" s="179">
        <f t="shared" ref="C21:L21" si="13">C20/C4</f>
        <v>1.7480877471496608E-2</v>
      </c>
      <c r="D21" s="179">
        <f t="shared" si="13"/>
        <v>1.4119976949953681E-2</v>
      </c>
      <c r="E21" s="179">
        <f t="shared" si="13"/>
        <v>1.1285328251924008E-2</v>
      </c>
      <c r="F21" s="179">
        <f t="shared" si="13"/>
        <v>8.7388784409471332E-3</v>
      </c>
      <c r="G21" s="179">
        <f t="shared" si="13"/>
        <v>4.8475798318391274E-3</v>
      </c>
      <c r="H21" s="180">
        <f t="shared" si="13"/>
        <v>4.7770995844808664E-3</v>
      </c>
      <c r="I21" s="180">
        <f t="shared" si="13"/>
        <v>4.9657753018617053E-3</v>
      </c>
      <c r="J21" s="180">
        <f t="shared" si="13"/>
        <v>5.1008543358009974E-3</v>
      </c>
      <c r="K21" s="180">
        <f t="shared" si="13"/>
        <v>5.2549907690858291E-3</v>
      </c>
      <c r="L21" s="180">
        <f t="shared" si="13"/>
        <v>5.4277023557758337E-3</v>
      </c>
    </row>
    <row r="22" spans="2:14" x14ac:dyDescent="0.2">
      <c r="B22" t="s">
        <v>36</v>
      </c>
      <c r="C22" s="145">
        <v>2098</v>
      </c>
      <c r="D22" s="145">
        <v>611</v>
      </c>
      <c r="E22" s="145">
        <v>-199</v>
      </c>
      <c r="F22" s="145">
        <v>882</v>
      </c>
      <c r="G22" s="145">
        <v>594</v>
      </c>
      <c r="H22" s="13">
        <f>H23*H4</f>
        <v>751.81612385425956</v>
      </c>
      <c r="I22" s="13">
        <f>I23*I4</f>
        <v>916.18207624617446</v>
      </c>
      <c r="J22" s="13">
        <f>J23*J4</f>
        <v>1121.9195837908705</v>
      </c>
      <c r="K22" s="13">
        <f>K23*K4</f>
        <v>1359.5524770692991</v>
      </c>
      <c r="L22" s="13">
        <f>L23*L4</f>
        <v>1630.4052614639393</v>
      </c>
    </row>
    <row r="23" spans="2:14" s="69" customFormat="1" x14ac:dyDescent="0.2">
      <c r="B23" s="76" t="s">
        <v>37</v>
      </c>
      <c r="C23" s="179">
        <f>C22/C4</f>
        <v>9.4620435849328902E-3</v>
      </c>
      <c r="D23" s="179">
        <f>D22/D4</f>
        <v>1.1142071440554953E-3</v>
      </c>
      <c r="E23" s="179">
        <f>E22/E4</f>
        <v>-2.7241391583368243E-4</v>
      </c>
      <c r="F23" s="179">
        <f>F22/F4</f>
        <v>9.7000890824507568E-4</v>
      </c>
      <c r="G23" s="179">
        <f>G22/G4</f>
        <v>5.5162115327824553E-4</v>
      </c>
      <c r="H23" s="180">
        <v>5.5162115327824597E-4</v>
      </c>
      <c r="I23" s="180">
        <v>5.5162115327824597E-4</v>
      </c>
      <c r="J23" s="180">
        <v>5.5162115327824597E-4</v>
      </c>
      <c r="K23" s="180">
        <v>5.5162115327824597E-4</v>
      </c>
      <c r="L23" s="180">
        <v>5.5162115327824597E-4</v>
      </c>
    </row>
    <row r="24" spans="2:14" x14ac:dyDescent="0.2">
      <c r="B24" t="s">
        <v>38</v>
      </c>
      <c r="C24" s="145">
        <v>11807</v>
      </c>
      <c r="D24" s="145">
        <v>50491</v>
      </c>
      <c r="E24" s="145">
        <v>41792</v>
      </c>
      <c r="F24" s="145">
        <v>3105</v>
      </c>
      <c r="G24" s="145">
        <v>366</v>
      </c>
      <c r="H24" s="13">
        <f>H25*H4</f>
        <v>2558.6902406345048</v>
      </c>
      <c r="I24" s="13">
        <f t="shared" ref="I24:L24" si="14">I25*I4</f>
        <v>3118.0844128713784</v>
      </c>
      <c r="J24" s="13">
        <f t="shared" si="14"/>
        <v>3818.2802931995966</v>
      </c>
      <c r="K24" s="13">
        <f t="shared" si="14"/>
        <v>4627.0272003131813</v>
      </c>
      <c r="L24" s="13">
        <f t="shared" si="14"/>
        <v>5548.8328840305894</v>
      </c>
    </row>
    <row r="25" spans="2:14" x14ac:dyDescent="0.2">
      <c r="B25" s="76" t="s">
        <v>39</v>
      </c>
      <c r="C25" s="181">
        <f>C24/C4</f>
        <v>5.3249927839515085E-2</v>
      </c>
      <c r="D25" s="181">
        <f>D24/D4</f>
        <v>9.2074358282333887E-2</v>
      </c>
      <c r="E25" s="181">
        <f t="shared" ref="E25:G25" si="15">E24/E4</f>
        <v>5.7209660153373143E-2</v>
      </c>
      <c r="F25" s="181">
        <f t="shared" si="15"/>
        <v>3.4148272790260319E-3</v>
      </c>
      <c r="G25" s="181">
        <f t="shared" si="15"/>
        <v>3.3988778131285836E-4</v>
      </c>
      <c r="H25" s="182">
        <f>AVERAGE(F25:G25)</f>
        <v>1.8773575301694451E-3</v>
      </c>
      <c r="I25" s="182">
        <f>H25</f>
        <v>1.8773575301694451E-3</v>
      </c>
      <c r="J25" s="182">
        <f t="shared" ref="J25:L25" si="16">AVERAGE(H25:I25)</f>
        <v>1.8773575301694451E-3</v>
      </c>
      <c r="K25" s="182">
        <f t="shared" si="16"/>
        <v>1.8773575301694451E-3</v>
      </c>
      <c r="L25" s="182">
        <f t="shared" si="16"/>
        <v>1.8773575301694451E-3</v>
      </c>
    </row>
    <row r="26" spans="2:14" x14ac:dyDescent="0.2">
      <c r="B26" t="s">
        <v>40</v>
      </c>
      <c r="C26" s="145">
        <v>30128</v>
      </c>
      <c r="D26" s="145">
        <f>91812</f>
        <v>91812</v>
      </c>
      <c r="E26" s="145">
        <v>101546</v>
      </c>
      <c r="F26" s="145">
        <v>95048</v>
      </c>
      <c r="G26" s="145">
        <v>88432</v>
      </c>
      <c r="H26" s="13">
        <f>'Depreciation Schedules '!H62</f>
        <v>34179.935211519325</v>
      </c>
      <c r="I26" s="13">
        <f>'Depreciation Schedules '!I62</f>
        <v>36948.085268859009</v>
      </c>
      <c r="J26" s="13">
        <f>'Depreciation Schedules '!J62</f>
        <v>40337.850077319134</v>
      </c>
      <c r="K26" s="13">
        <f>'Depreciation Schedules '!K62</f>
        <v>44445.598269442096</v>
      </c>
      <c r="L26" s="13">
        <f>'Depreciation Schedules '!L62</f>
        <v>49371.700334765235</v>
      </c>
      <c r="M26" s="158" t="s">
        <v>33</v>
      </c>
      <c r="N26" t="s">
        <v>0</v>
      </c>
    </row>
    <row r="27" spans="2:14" s="69" customFormat="1" x14ac:dyDescent="0.2">
      <c r="B27" s="76" t="s">
        <v>41</v>
      </c>
      <c r="C27" s="15">
        <f t="shared" ref="C27:L27" si="17">C26/C4</f>
        <v>0.13587819310145763</v>
      </c>
      <c r="D27" s="15">
        <f t="shared" si="17"/>
        <v>0.16742649150576616</v>
      </c>
      <c r="E27" s="15">
        <f t="shared" si="17"/>
        <v>0.13900775626757345</v>
      </c>
      <c r="F27" s="15">
        <f t="shared" si="17"/>
        <v>0.10453220715519043</v>
      </c>
      <c r="G27" s="15">
        <f t="shared" si="17"/>
        <v>8.2122831358083848E-2</v>
      </c>
      <c r="H27" s="149">
        <f t="shared" si="17"/>
        <v>2.5078439637201719E-2</v>
      </c>
      <c r="I27" s="149">
        <f t="shared" si="17"/>
        <v>2.2245955182771542E-2</v>
      </c>
      <c r="J27" s="149">
        <f t="shared" si="17"/>
        <v>1.9833160684503623E-2</v>
      </c>
      <c r="K27" s="149">
        <f t="shared" si="17"/>
        <v>1.8033237104890049E-2</v>
      </c>
      <c r="L27" s="149">
        <f t="shared" si="17"/>
        <v>1.670411334021172E-2</v>
      </c>
    </row>
    <row r="28" spans="2:14" x14ac:dyDescent="0.2">
      <c r="B28" t="s">
        <v>42</v>
      </c>
      <c r="C28" s="145">
        <v>1760</v>
      </c>
      <c r="D28" s="145">
        <v>803</v>
      </c>
      <c r="E28" s="145">
        <v>28683</v>
      </c>
      <c r="F28" s="145">
        <v>7206</v>
      </c>
      <c r="G28" s="145">
        <v>17503</v>
      </c>
      <c r="H28" s="13">
        <f>H29*H4</f>
        <v>19856.627419155862</v>
      </c>
      <c r="I28" s="13">
        <f t="shared" ref="I28:L28" si="18">I29*I4</f>
        <v>24197.786611524614</v>
      </c>
      <c r="J28" s="13">
        <f t="shared" si="18"/>
        <v>29631.632606363553</v>
      </c>
      <c r="K28" s="13">
        <f t="shared" si="18"/>
        <v>35907.885103018554</v>
      </c>
      <c r="L28" s="13">
        <f t="shared" si="18"/>
        <v>43061.526338582022</v>
      </c>
    </row>
    <row r="29" spans="2:14" s="69" customFormat="1" x14ac:dyDescent="0.2">
      <c r="B29" s="76" t="s">
        <v>39</v>
      </c>
      <c r="C29" s="15">
        <f>C28/C4</f>
        <v>7.9376533410304515E-3</v>
      </c>
      <c r="D29" s="15">
        <f>D28/D4</f>
        <v>1.4643344299125412E-3</v>
      </c>
      <c r="E29" s="15">
        <f t="shared" ref="E29:G29" si="19">E28/E4</f>
        <v>3.926456456209805E-2</v>
      </c>
      <c r="F29" s="15">
        <f t="shared" si="19"/>
        <v>7.9250387673628301E-3</v>
      </c>
      <c r="G29" s="15">
        <f t="shared" si="19"/>
        <v>1.625425091890426E-2</v>
      </c>
      <c r="H29" s="149">
        <f>AVERAGE(C29:G29)</f>
        <v>1.4569168403861627E-2</v>
      </c>
      <c r="I29" s="149">
        <f>H29</f>
        <v>1.4569168403861627E-2</v>
      </c>
      <c r="J29" s="149">
        <f t="shared" ref="J29:L29" si="20">I29</f>
        <v>1.4569168403861627E-2</v>
      </c>
      <c r="K29" s="149">
        <f t="shared" si="20"/>
        <v>1.4569168403861627E-2</v>
      </c>
      <c r="L29" s="149">
        <f t="shared" si="20"/>
        <v>1.4569168403861627E-2</v>
      </c>
    </row>
    <row r="30" spans="2:14" x14ac:dyDescent="0.2">
      <c r="B30" s="82" t="s">
        <v>43</v>
      </c>
      <c r="C30" s="183">
        <v>0</v>
      </c>
      <c r="D30" s="183">
        <v>0</v>
      </c>
      <c r="E30" s="183">
        <v>748712</v>
      </c>
      <c r="F30" s="183">
        <v>0</v>
      </c>
      <c r="G30" s="183">
        <v>556440</v>
      </c>
      <c r="H30" s="25">
        <f>0</f>
        <v>0</v>
      </c>
      <c r="I30" s="25">
        <f>0</f>
        <v>0</v>
      </c>
      <c r="J30" s="25">
        <f>0</f>
        <v>0</v>
      </c>
      <c r="K30" s="25">
        <f>0</f>
        <v>0</v>
      </c>
      <c r="L30" s="25">
        <f>0</f>
        <v>0</v>
      </c>
      <c r="M30" t="s">
        <v>44</v>
      </c>
    </row>
    <row r="31" spans="2:14" x14ac:dyDescent="0.2">
      <c r="B31" s="70" t="s">
        <v>45</v>
      </c>
      <c r="C31" s="145">
        <f t="shared" ref="C31:L31" si="21">SUM(C12,C14,C16,C18,C20,C22,C24,C28,C30,C26)</f>
        <v>257386</v>
      </c>
      <c r="D31" s="145">
        <f t="shared" si="21"/>
        <v>589515</v>
      </c>
      <c r="E31" s="145">
        <f t="shared" si="21"/>
        <v>1431001</v>
      </c>
      <c r="F31" s="145">
        <f t="shared" si="21"/>
        <v>588269</v>
      </c>
      <c r="G31" s="145">
        <f t="shared" si="21"/>
        <v>1146212</v>
      </c>
      <c r="H31" s="13">
        <f>SUM(H12,H14,H16,H18,H20,H22,H24,H28,H30,H26)</f>
        <v>716765.70250878728</v>
      </c>
      <c r="I31" s="13">
        <f t="shared" si="21"/>
        <v>810866.6970848277</v>
      </c>
      <c r="J31" s="13">
        <f t="shared" si="21"/>
        <v>917039.98903359566</v>
      </c>
      <c r="K31" s="13">
        <f t="shared" si="21"/>
        <v>1045551.9706496646</v>
      </c>
      <c r="L31" s="13">
        <f t="shared" si="21"/>
        <v>1206095.0154979599</v>
      </c>
    </row>
    <row r="32" spans="2:14" x14ac:dyDescent="0.2">
      <c r="B32" s="299"/>
      <c r="C32" s="13"/>
      <c r="D32" s="13"/>
      <c r="E32" s="13"/>
      <c r="F32" s="13"/>
      <c r="G32" s="13"/>
      <c r="H32" s="13"/>
      <c r="I32" s="13"/>
      <c r="J32" s="13"/>
      <c r="K32" s="13"/>
      <c r="L32" s="13"/>
    </row>
    <row r="33" spans="2:13" x14ac:dyDescent="0.2">
      <c r="B33" s="299" t="s">
        <v>46</v>
      </c>
      <c r="C33" s="13">
        <f>C8-C31+C18+C20+C26</f>
        <v>-93234</v>
      </c>
      <c r="D33" s="13">
        <f t="shared" ref="D33:L33" si="22">D8-D31+D18+D20+D26</f>
        <v>-213794</v>
      </c>
      <c r="E33" s="13">
        <f t="shared" si="22"/>
        <v>-983779</v>
      </c>
      <c r="F33" s="13">
        <f t="shared" si="22"/>
        <v>-93391</v>
      </c>
      <c r="G33" s="13">
        <f t="shared" si="22"/>
        <v>-595016</v>
      </c>
      <c r="H33" s="13">
        <f t="shared" si="22"/>
        <v>-85261.730395882652</v>
      </c>
      <c r="I33" s="13">
        <f t="shared" si="22"/>
        <v>-56480.797883345964</v>
      </c>
      <c r="J33" s="13">
        <f t="shared" si="22"/>
        <v>2239.6622740971361</v>
      </c>
      <c r="K33" s="13">
        <f t="shared" si="22"/>
        <v>74328.416457669955</v>
      </c>
      <c r="L33" s="13">
        <f t="shared" si="22"/>
        <v>137406.61859218602</v>
      </c>
    </row>
    <row r="34" spans="2:13" x14ac:dyDescent="0.2">
      <c r="B34" s="184" t="s">
        <v>47</v>
      </c>
      <c r="C34" s="185">
        <v>-21199</v>
      </c>
      <c r="D34" s="185">
        <v>-41514</v>
      </c>
      <c r="E34" s="185">
        <v>-33881</v>
      </c>
      <c r="F34" s="185">
        <v>1265</v>
      </c>
      <c r="G34" s="185">
        <v>53687</v>
      </c>
      <c r="H34" s="186">
        <f>H33+H173+H28+H24+H22+H30</f>
        <v>8283.746093007876</v>
      </c>
      <c r="I34" s="186">
        <f t="shared" ref="I34:L34" si="23">I33+I173+I28+I24+I22+I30</f>
        <v>57516.077354785244</v>
      </c>
      <c r="J34" s="186">
        <f t="shared" si="23"/>
        <v>141835.6335734298</v>
      </c>
      <c r="K34" s="186">
        <f t="shared" si="23"/>
        <v>243492.09923039135</v>
      </c>
      <c r="L34" s="186">
        <f t="shared" si="23"/>
        <v>340271.4311633035</v>
      </c>
    </row>
    <row r="35" spans="2:13" s="69" customFormat="1" x14ac:dyDescent="0.2">
      <c r="B35" s="187" t="s">
        <v>48</v>
      </c>
      <c r="C35" s="188">
        <f t="shared" ref="C35:L35" si="24">C34/C4</f>
        <v>-9.5608132486650316E-2</v>
      </c>
      <c r="D35" s="188">
        <f t="shared" si="24"/>
        <v>-7.5704084088903154E-2</v>
      </c>
      <c r="E35" s="188">
        <f t="shared" si="24"/>
        <v>-4.6380180313371829E-2</v>
      </c>
      <c r="F35" s="188">
        <f t="shared" si="24"/>
        <v>1.3912259284920871E-3</v>
      </c>
      <c r="G35" s="188">
        <f t="shared" si="24"/>
        <v>4.9856708511867284E-2</v>
      </c>
      <c r="H35" s="189">
        <f t="shared" si="24"/>
        <v>6.0779350539374305E-3</v>
      </c>
      <c r="I35" s="189">
        <f t="shared" si="24"/>
        <v>3.4629672141678641E-2</v>
      </c>
      <c r="J35" s="189">
        <f t="shared" si="24"/>
        <v>6.9737204785534926E-2</v>
      </c>
      <c r="K35" s="189">
        <f t="shared" si="24"/>
        <v>9.8793827275534624E-2</v>
      </c>
      <c r="L35" s="189">
        <f t="shared" si="24"/>
        <v>0.11512531498911154</v>
      </c>
    </row>
    <row r="36" spans="2:13" x14ac:dyDescent="0.2">
      <c r="B36" s="333" t="s">
        <v>49</v>
      </c>
      <c r="C36" s="186">
        <f t="shared" ref="C36:L36" si="25">ABS(C39)+ABS(C46)+C24+C28+C30</f>
        <v>19712</v>
      </c>
      <c r="D36" s="186">
        <f t="shared" si="25"/>
        <v>81203</v>
      </c>
      <c r="E36" s="186">
        <f t="shared" si="25"/>
        <v>848218</v>
      </c>
      <c r="F36" s="186">
        <f t="shared" si="25"/>
        <v>56318</v>
      </c>
      <c r="G36" s="186">
        <f t="shared" si="25"/>
        <v>618494</v>
      </c>
      <c r="H36" s="186">
        <f t="shared" si="25"/>
        <v>74494.550380123823</v>
      </c>
      <c r="I36" s="186">
        <f t="shared" si="25"/>
        <v>93131.63940569789</v>
      </c>
      <c r="J36" s="186">
        <f t="shared" si="25"/>
        <v>109199.1847660979</v>
      </c>
      <c r="K36" s="186">
        <f t="shared" si="25"/>
        <v>163310.32110987729</v>
      </c>
      <c r="L36" s="186">
        <f t="shared" si="25"/>
        <v>209729.10953532104</v>
      </c>
    </row>
    <row r="37" spans="2:13" x14ac:dyDescent="0.2">
      <c r="C37" s="13"/>
      <c r="D37" s="13"/>
      <c r="E37" s="13"/>
      <c r="F37" s="13"/>
      <c r="G37" s="13"/>
      <c r="H37" s="13"/>
      <c r="I37" s="13"/>
      <c r="J37" s="13"/>
      <c r="K37" s="13"/>
      <c r="L37" s="13"/>
    </row>
    <row r="38" spans="2:13" x14ac:dyDescent="0.2">
      <c r="B38" s="299" t="s">
        <v>50</v>
      </c>
      <c r="C38" s="145">
        <f t="shared" ref="C38:L38" si="26">C8-C31</f>
        <v>-129717</v>
      </c>
      <c r="D38" s="145">
        <f t="shared" si="26"/>
        <v>-318342</v>
      </c>
      <c r="E38" s="145">
        <f t="shared" si="26"/>
        <v>-1099040</v>
      </c>
      <c r="F38" s="145">
        <f t="shared" si="26"/>
        <v>-203019</v>
      </c>
      <c r="G38" s="145">
        <f t="shared" si="26"/>
        <v>-696007</v>
      </c>
      <c r="H38" s="13">
        <f t="shared" si="26"/>
        <v>-128849.92545589828</v>
      </c>
      <c r="I38" s="13">
        <f t="shared" si="26"/>
        <v>-105127.5697750703</v>
      </c>
      <c r="J38" s="13">
        <f t="shared" si="26"/>
        <v>-52601.638588176342</v>
      </c>
      <c r="K38" s="13">
        <f t="shared" si="26"/>
        <v>11980.52837839548</v>
      </c>
      <c r="L38" s="13">
        <f t="shared" si="26"/>
        <v>66056.665862476919</v>
      </c>
    </row>
    <row r="39" spans="2:13" x14ac:dyDescent="0.2">
      <c r="B39" t="s">
        <v>51</v>
      </c>
      <c r="C39" s="145">
        <v>-353</v>
      </c>
      <c r="D39" s="145">
        <v>2988</v>
      </c>
      <c r="E39" s="145">
        <v>24812</v>
      </c>
      <c r="F39" s="145">
        <v>42531</v>
      </c>
      <c r="G39" s="145">
        <v>36498</v>
      </c>
      <c r="H39" s="13">
        <f>H40*H4</f>
        <v>52079.232720333457</v>
      </c>
      <c r="I39" s="13">
        <f>I40*I4</f>
        <v>65815.768381301896</v>
      </c>
      <c r="J39" s="13">
        <f>J40*J4</f>
        <v>75749.271866534749</v>
      </c>
      <c r="K39" s="13">
        <f>K40*K4</f>
        <v>94545.904178870143</v>
      </c>
      <c r="L39" s="13">
        <f>L40*L4</f>
        <v>113528.64336691862</v>
      </c>
    </row>
    <row r="40" spans="2:13" x14ac:dyDescent="0.2">
      <c r="B40" s="190" t="s">
        <v>39</v>
      </c>
      <c r="C40" s="27">
        <f>ABS(C39/C4)</f>
        <v>1.5920406985134941E-3</v>
      </c>
      <c r="D40" s="27">
        <f>ABS(D39/D4)</f>
        <v>5.4488558861502771E-3</v>
      </c>
      <c r="E40" s="27">
        <f>ABS(E39/E4)</f>
        <v>3.396549788776547E-2</v>
      </c>
      <c r="F40" s="27">
        <f>ABS(F39/F4)</f>
        <v>4.6774885347586524E-2</v>
      </c>
      <c r="G40" s="27">
        <f>ABS(G39/G4)</f>
        <v>3.3894055306985527E-2</v>
      </c>
      <c r="H40" s="177">
        <f>AVERAGE(E40:G40)</f>
        <v>3.8211479514112502E-2</v>
      </c>
      <c r="I40" s="177">
        <f t="shared" ref="I40:L40" si="27">AVERAGE(F40:H40)</f>
        <v>3.9626806722894849E-2</v>
      </c>
      <c r="J40" s="177">
        <f t="shared" si="27"/>
        <v>3.7244113847997619E-2</v>
      </c>
      <c r="K40" s="177">
        <f t="shared" si="27"/>
        <v>3.8360800028334995E-2</v>
      </c>
      <c r="L40" s="177">
        <f t="shared" si="27"/>
        <v>3.8410573533075816E-2</v>
      </c>
    </row>
    <row r="41" spans="2:13" x14ac:dyDescent="0.2">
      <c r="B41" s="70" t="s">
        <v>52</v>
      </c>
      <c r="C41" s="13">
        <f t="shared" ref="C41:L41" si="28">C38+C39</f>
        <v>-130070</v>
      </c>
      <c r="D41" s="13">
        <f t="shared" si="28"/>
        <v>-315354</v>
      </c>
      <c r="E41" s="13">
        <f t="shared" si="28"/>
        <v>-1074228</v>
      </c>
      <c r="F41" s="13">
        <f t="shared" si="28"/>
        <v>-160488</v>
      </c>
      <c r="G41" s="13">
        <f t="shared" si="28"/>
        <v>-659509</v>
      </c>
      <c r="H41" s="13">
        <f t="shared" si="28"/>
        <v>-76770.692735564822</v>
      </c>
      <c r="I41" s="13">
        <f t="shared" si="28"/>
        <v>-39311.801393768401</v>
      </c>
      <c r="J41" s="13">
        <f t="shared" si="28"/>
        <v>23147.633278358408</v>
      </c>
      <c r="K41" s="13">
        <f t="shared" si="28"/>
        <v>106526.43255726562</v>
      </c>
      <c r="L41" s="13">
        <f t="shared" si="28"/>
        <v>179585.30922939553</v>
      </c>
    </row>
    <row r="42" spans="2:13" x14ac:dyDescent="0.2">
      <c r="C42" s="13"/>
      <c r="D42" s="13"/>
      <c r="E42" s="13"/>
      <c r="F42" s="13"/>
      <c r="G42" s="13"/>
      <c r="H42" s="13"/>
      <c r="I42" s="13"/>
      <c r="J42" s="13"/>
      <c r="K42" s="13"/>
      <c r="L42" s="13"/>
    </row>
    <row r="43" spans="2:13" x14ac:dyDescent="0.2">
      <c r="B43" s="70" t="s">
        <v>53</v>
      </c>
      <c r="C43" s="13"/>
      <c r="D43" s="13"/>
      <c r="E43" s="13"/>
      <c r="F43" s="13"/>
      <c r="G43" s="13"/>
      <c r="H43" s="13"/>
      <c r="I43" s="13"/>
      <c r="J43" s="13"/>
      <c r="K43" s="13"/>
      <c r="L43" s="13"/>
    </row>
    <row r="44" spans="2:13" x14ac:dyDescent="0.2">
      <c r="B44" t="s">
        <v>54</v>
      </c>
      <c r="C44" s="145">
        <v>166</v>
      </c>
      <c r="D44" s="145">
        <v>1103</v>
      </c>
      <c r="E44" s="145">
        <v>2469</v>
      </c>
      <c r="F44" s="145">
        <v>3799</v>
      </c>
      <c r="G44" s="145">
        <v>7496</v>
      </c>
      <c r="H44" s="13">
        <f>H47*H41</f>
        <v>0</v>
      </c>
      <c r="I44" s="13">
        <f t="shared" ref="I44:L44" si="29">I47*I41</f>
        <v>0</v>
      </c>
      <c r="J44" s="13">
        <f t="shared" si="29"/>
        <v>0</v>
      </c>
      <c r="K44" s="13">
        <f t="shared" si="29"/>
        <v>28229.504627675393</v>
      </c>
      <c r="L44" s="13">
        <f t="shared" si="29"/>
        <v>47590.106945789819</v>
      </c>
    </row>
    <row r="45" spans="2:13" x14ac:dyDescent="0.2">
      <c r="B45" s="82" t="s">
        <v>55</v>
      </c>
      <c r="C45" s="183">
        <v>-5958</v>
      </c>
      <c r="D45" s="183">
        <v>-28024</v>
      </c>
      <c r="E45" s="183">
        <v>-6688</v>
      </c>
      <c r="F45" s="183">
        <v>-323</v>
      </c>
      <c r="G45" s="145">
        <v>191</v>
      </c>
      <c r="H45" s="255">
        <v>0</v>
      </c>
      <c r="I45" s="255">
        <v>0</v>
      </c>
      <c r="J45" s="255">
        <v>0</v>
      </c>
      <c r="K45" s="255">
        <v>0</v>
      </c>
      <c r="L45" s="255">
        <v>0</v>
      </c>
      <c r="M45" t="s">
        <v>56</v>
      </c>
    </row>
    <row r="46" spans="2:13" x14ac:dyDescent="0.2">
      <c r="B46" s="70" t="s">
        <v>57</v>
      </c>
      <c r="C46" s="145">
        <f t="shared" ref="C46:L46" si="30">SUM(C44:C45)</f>
        <v>-5792</v>
      </c>
      <c r="D46" s="145">
        <f t="shared" si="30"/>
        <v>-26921</v>
      </c>
      <c r="E46" s="145">
        <f t="shared" si="30"/>
        <v>-4219</v>
      </c>
      <c r="F46" s="145">
        <f t="shared" si="30"/>
        <v>3476</v>
      </c>
      <c r="G46" s="256">
        <f t="shared" si="30"/>
        <v>7687</v>
      </c>
      <c r="H46" s="257">
        <f t="shared" si="30"/>
        <v>0</v>
      </c>
      <c r="I46" s="257">
        <f t="shared" si="30"/>
        <v>0</v>
      </c>
      <c r="J46" s="257">
        <f t="shared" si="30"/>
        <v>0</v>
      </c>
      <c r="K46" s="257">
        <f t="shared" si="30"/>
        <v>28229.504627675393</v>
      </c>
      <c r="L46" s="257">
        <f t="shared" si="30"/>
        <v>47590.106945789819</v>
      </c>
    </row>
    <row r="47" spans="2:13" s="69" customFormat="1" x14ac:dyDescent="0.2">
      <c r="B47" s="76" t="s">
        <v>58</v>
      </c>
      <c r="C47" s="254">
        <f>C46/C38</f>
        <v>4.4651048050756648E-2</v>
      </c>
      <c r="D47" s="254">
        <f t="shared" ref="D47:G47" si="31">D46/D38</f>
        <v>8.4566284059282154E-2</v>
      </c>
      <c r="E47" s="254">
        <f t="shared" si="31"/>
        <v>3.8388047750764305E-3</v>
      </c>
      <c r="F47" s="254">
        <f t="shared" si="31"/>
        <v>-1.7121550199734999E-2</v>
      </c>
      <c r="G47" s="254">
        <f t="shared" si="31"/>
        <v>-1.1044429150856242E-2</v>
      </c>
      <c r="H47" s="180">
        <f>IF(H38&gt;0,0.265,0)</f>
        <v>0</v>
      </c>
      <c r="I47" s="180">
        <f t="shared" ref="I47:L47" si="32">IF(I38&gt;0,0.265,0)</f>
        <v>0</v>
      </c>
      <c r="J47" s="180">
        <f t="shared" si="32"/>
        <v>0</v>
      </c>
      <c r="K47" s="180">
        <f t="shared" si="32"/>
        <v>0.26500000000000001</v>
      </c>
      <c r="L47" s="180">
        <f t="shared" si="32"/>
        <v>0.26500000000000001</v>
      </c>
      <c r="M47" t="s">
        <v>59</v>
      </c>
    </row>
    <row r="48" spans="2:13" x14ac:dyDescent="0.2">
      <c r="C48" s="13"/>
      <c r="D48" s="13"/>
      <c r="E48" s="13"/>
      <c r="F48" s="13"/>
      <c r="G48" s="13"/>
      <c r="H48" s="13"/>
      <c r="I48" s="13"/>
      <c r="J48" s="13"/>
      <c r="K48" s="13"/>
      <c r="L48" s="13"/>
    </row>
    <row r="49" spans="2:12" x14ac:dyDescent="0.2">
      <c r="B49" s="191" t="s">
        <v>60</v>
      </c>
      <c r="C49" s="192">
        <f t="shared" ref="C49:L49" si="33">C41-C46</f>
        <v>-124278</v>
      </c>
      <c r="D49" s="192">
        <f t="shared" si="33"/>
        <v>-288433</v>
      </c>
      <c r="E49" s="192">
        <f t="shared" si="33"/>
        <v>-1070009</v>
      </c>
      <c r="F49" s="192">
        <f t="shared" si="33"/>
        <v>-163964</v>
      </c>
      <c r="G49" s="192">
        <f t="shared" si="33"/>
        <v>-667196</v>
      </c>
      <c r="H49" s="193">
        <f t="shared" si="33"/>
        <v>-76770.692735564822</v>
      </c>
      <c r="I49" s="193">
        <f t="shared" si="33"/>
        <v>-39311.801393768401</v>
      </c>
      <c r="J49" s="193">
        <f t="shared" si="33"/>
        <v>23147.633278358408</v>
      </c>
      <c r="K49" s="193">
        <f t="shared" si="33"/>
        <v>78296.927929590223</v>
      </c>
      <c r="L49" s="193">
        <f t="shared" si="33"/>
        <v>131995.2022836057</v>
      </c>
    </row>
    <row r="50" spans="2:12" x14ac:dyDescent="0.2">
      <c r="C50" s="13"/>
      <c r="D50" s="13"/>
      <c r="E50" s="13"/>
      <c r="F50" s="13"/>
      <c r="G50" s="13"/>
      <c r="H50" s="13"/>
      <c r="I50" s="13"/>
      <c r="J50" s="13"/>
      <c r="K50" s="13"/>
      <c r="L50" s="13"/>
    </row>
    <row r="51" spans="2:12" x14ac:dyDescent="0.2">
      <c r="B51" s="70" t="s">
        <v>61</v>
      </c>
      <c r="C51" s="13"/>
      <c r="D51" s="13"/>
      <c r="E51" s="13"/>
      <c r="F51" s="13"/>
      <c r="G51" s="13"/>
      <c r="H51" s="13"/>
      <c r="I51" s="13"/>
      <c r="J51" s="13"/>
      <c r="K51" s="13"/>
      <c r="L51" s="13"/>
    </row>
    <row r="52" spans="2:12" x14ac:dyDescent="0.2">
      <c r="B52" t="s">
        <v>62</v>
      </c>
      <c r="C52" s="145">
        <v>15986</v>
      </c>
      <c r="D52" s="145">
        <v>-7061</v>
      </c>
      <c r="E52" s="145">
        <v>-5586</v>
      </c>
      <c r="F52" s="145">
        <v>-1302</v>
      </c>
      <c r="G52" s="145">
        <v>-732</v>
      </c>
      <c r="H52" s="13">
        <v>0</v>
      </c>
      <c r="I52" s="13">
        <f t="shared" ref="I52:L52" si="34">H52</f>
        <v>0</v>
      </c>
      <c r="J52" s="13">
        <f t="shared" si="34"/>
        <v>0</v>
      </c>
      <c r="K52" s="13">
        <f t="shared" si="34"/>
        <v>0</v>
      </c>
      <c r="L52" s="13">
        <f t="shared" si="34"/>
        <v>0</v>
      </c>
    </row>
    <row r="53" spans="2:12" s="69" customFormat="1" x14ac:dyDescent="0.2">
      <c r="B53" s="76" t="s">
        <v>39</v>
      </c>
      <c r="C53" s="15">
        <f t="shared" ref="C53:L53" si="35">ABS(C52/C4)</f>
        <v>7.2097344494155002E-2</v>
      </c>
      <c r="D53" s="15">
        <f t="shared" si="35"/>
        <v>1.2876295653315632E-2</v>
      </c>
      <c r="E53" s="15">
        <f t="shared" si="35"/>
        <v>7.6467544414419598E-3</v>
      </c>
      <c r="F53" s="15">
        <f t="shared" si="35"/>
        <v>1.4319179121713022E-3</v>
      </c>
      <c r="G53" s="15">
        <f t="shared" si="35"/>
        <v>6.7977556262571672E-4</v>
      </c>
      <c r="H53" s="149">
        <f t="shared" si="35"/>
        <v>0</v>
      </c>
      <c r="I53" s="149">
        <f t="shared" si="35"/>
        <v>0</v>
      </c>
      <c r="J53" s="149">
        <f t="shared" si="35"/>
        <v>0</v>
      </c>
      <c r="K53" s="149">
        <f t="shared" si="35"/>
        <v>0</v>
      </c>
      <c r="L53" s="149">
        <f t="shared" si="35"/>
        <v>0</v>
      </c>
    </row>
    <row r="54" spans="2:12" x14ac:dyDescent="0.2">
      <c r="B54" t="s">
        <v>63</v>
      </c>
      <c r="C54" s="145">
        <v>0</v>
      </c>
      <c r="D54" s="145">
        <v>23</v>
      </c>
      <c r="E54" s="145">
        <v>-148</v>
      </c>
      <c r="F54" s="145">
        <v>314</v>
      </c>
      <c r="G54" s="145">
        <v>-2685</v>
      </c>
      <c r="H54" s="13">
        <v>0</v>
      </c>
      <c r="I54" s="13">
        <v>0</v>
      </c>
      <c r="J54" s="13">
        <v>0</v>
      </c>
      <c r="K54" s="13">
        <v>0</v>
      </c>
      <c r="L54" s="13">
        <v>0</v>
      </c>
    </row>
    <row r="55" spans="2:12" s="69" customFormat="1" x14ac:dyDescent="0.2">
      <c r="B55" s="194" t="s">
        <v>39</v>
      </c>
      <c r="C55" s="27">
        <f t="shared" ref="C55:L55" si="36">ABS(C54/C4)</f>
        <v>0</v>
      </c>
      <c r="D55" s="27">
        <f t="shared" si="36"/>
        <v>4.1942331118291964E-5</v>
      </c>
      <c r="E55" s="27">
        <f t="shared" si="36"/>
        <v>2.0259929418786431E-4</v>
      </c>
      <c r="F55" s="27">
        <f t="shared" si="36"/>
        <v>3.4533196960198842E-4</v>
      </c>
      <c r="G55" s="27">
        <f t="shared" si="36"/>
        <v>2.4934390514344935E-3</v>
      </c>
      <c r="H55" s="177">
        <f t="shared" si="36"/>
        <v>0</v>
      </c>
      <c r="I55" s="177">
        <f t="shared" si="36"/>
        <v>0</v>
      </c>
      <c r="J55" s="177">
        <f t="shared" si="36"/>
        <v>0</v>
      </c>
      <c r="K55" s="177">
        <f t="shared" si="36"/>
        <v>0</v>
      </c>
      <c r="L55" s="177">
        <f t="shared" si="36"/>
        <v>0</v>
      </c>
    </row>
    <row r="56" spans="2:12" x14ac:dyDescent="0.2">
      <c r="B56" s="70" t="s">
        <v>64</v>
      </c>
      <c r="C56" s="145">
        <f t="shared" ref="C56:L56" si="37">SUM(C52,C54)</f>
        <v>15986</v>
      </c>
      <c r="D56" s="145">
        <f t="shared" si="37"/>
        <v>-7038</v>
      </c>
      <c r="E56" s="145">
        <f t="shared" si="37"/>
        <v>-5734</v>
      </c>
      <c r="F56" s="145">
        <f t="shared" si="37"/>
        <v>-988</v>
      </c>
      <c r="G56" s="145">
        <f t="shared" si="37"/>
        <v>-3417</v>
      </c>
      <c r="H56" s="13">
        <f t="shared" si="37"/>
        <v>0</v>
      </c>
      <c r="I56" s="13">
        <f t="shared" si="37"/>
        <v>0</v>
      </c>
      <c r="J56" s="13">
        <f t="shared" si="37"/>
        <v>0</v>
      </c>
      <c r="K56" s="13">
        <f t="shared" si="37"/>
        <v>0</v>
      </c>
      <c r="L56" s="13">
        <f t="shared" si="37"/>
        <v>0</v>
      </c>
    </row>
    <row r="57" spans="2:12" x14ac:dyDescent="0.2">
      <c r="C57" s="13"/>
      <c r="D57" s="13"/>
      <c r="E57" s="13"/>
      <c r="F57" s="13"/>
      <c r="G57" s="13"/>
      <c r="H57" s="13"/>
      <c r="I57" s="13"/>
      <c r="J57" s="13"/>
      <c r="K57" s="13"/>
      <c r="L57" s="13"/>
    </row>
    <row r="58" spans="2:12" x14ac:dyDescent="0.2">
      <c r="B58" s="191" t="s">
        <v>65</v>
      </c>
      <c r="C58" s="192">
        <f t="shared" ref="C58:L58" si="38">C49+C56</f>
        <v>-108292</v>
      </c>
      <c r="D58" s="192">
        <f t="shared" si="38"/>
        <v>-295471</v>
      </c>
      <c r="E58" s="192">
        <f t="shared" si="38"/>
        <v>-1075743</v>
      </c>
      <c r="F58" s="192">
        <f t="shared" si="38"/>
        <v>-164952</v>
      </c>
      <c r="G58" s="192">
        <f t="shared" si="38"/>
        <v>-670613</v>
      </c>
      <c r="H58" s="193">
        <f t="shared" si="38"/>
        <v>-76770.692735564822</v>
      </c>
      <c r="I58" s="193">
        <f t="shared" si="38"/>
        <v>-39311.801393768401</v>
      </c>
      <c r="J58" s="193">
        <f t="shared" si="38"/>
        <v>23147.633278358408</v>
      </c>
      <c r="K58" s="193">
        <f t="shared" si="38"/>
        <v>78296.927929590223</v>
      </c>
      <c r="L58" s="193">
        <f t="shared" si="38"/>
        <v>131995.2022836057</v>
      </c>
    </row>
    <row r="59" spans="2:12" x14ac:dyDescent="0.2">
      <c r="C59" s="13"/>
      <c r="D59" s="13"/>
      <c r="E59" s="13"/>
      <c r="F59" s="13"/>
      <c r="G59" s="13"/>
      <c r="H59" s="13"/>
      <c r="I59" s="13"/>
      <c r="J59" s="13"/>
      <c r="K59" s="13"/>
      <c r="L59" s="13"/>
    </row>
    <row r="60" spans="2:12" x14ac:dyDescent="0.2">
      <c r="B60" s="158" t="s">
        <v>66</v>
      </c>
      <c r="H60" s="13"/>
      <c r="I60" s="13"/>
      <c r="J60" s="13"/>
      <c r="K60" s="13"/>
      <c r="L60" s="13"/>
    </row>
    <row r="61" spans="2:12" x14ac:dyDescent="0.2">
      <c r="B61" s="158" t="s">
        <v>67</v>
      </c>
      <c r="C61" s="195">
        <v>-1.18</v>
      </c>
      <c r="D61" s="195">
        <v>-2.04</v>
      </c>
      <c r="E61" s="195">
        <v>-7.11</v>
      </c>
      <c r="F61" s="195">
        <v>-1.07</v>
      </c>
      <c r="G61" s="195">
        <v>-4.34</v>
      </c>
      <c r="H61" s="258">
        <f>(H49*(1000))/H65</f>
        <v>-0.49956034749437916</v>
      </c>
      <c r="I61" s="258">
        <f t="shared" ref="I61:L61" si="39">(I49*(1000))/I65</f>
        <v>-0.26352540584081752</v>
      </c>
      <c r="J61" s="258">
        <f t="shared" si="39"/>
        <v>0.15999579087424243</v>
      </c>
      <c r="K61" s="258">
        <f t="shared" si="39"/>
        <v>0.55855953108942502</v>
      </c>
      <c r="L61" s="258">
        <f t="shared" si="39"/>
        <v>0.97286699364641471</v>
      </c>
    </row>
    <row r="62" spans="2:12" x14ac:dyDescent="0.2">
      <c r="B62" s="158" t="s">
        <v>68</v>
      </c>
      <c r="C62" s="195">
        <v>-1.18</v>
      </c>
      <c r="D62" s="195">
        <v>-2.04</v>
      </c>
      <c r="E62" s="195">
        <v>-7.11</v>
      </c>
      <c r="F62" s="195">
        <v>-1.07</v>
      </c>
      <c r="G62" s="195">
        <v>-4.34</v>
      </c>
      <c r="H62" s="258">
        <f>IF(H49 &lt; 0, H61, (H49 * 1000) / H66)</f>
        <v>-0.49956034749437916</v>
      </c>
      <c r="I62" s="258">
        <f t="shared" ref="I62:L62" si="40">IF(I49 &lt; 0, I61, (I49 * 1000) / I66)</f>
        <v>-0.26352540584081752</v>
      </c>
      <c r="J62" s="258">
        <f t="shared" si="40"/>
        <v>0.15992505069235688</v>
      </c>
      <c r="K62" s="258">
        <f t="shared" si="40"/>
        <v>0.55830464642998978</v>
      </c>
      <c r="L62" s="258">
        <f t="shared" si="40"/>
        <v>0.97240833275990646</v>
      </c>
    </row>
    <row r="63" spans="2:12" x14ac:dyDescent="0.2">
      <c r="B63" s="158"/>
      <c r="C63" s="13"/>
      <c r="D63" s="13"/>
      <c r="E63" s="13"/>
      <c r="F63" s="13"/>
      <c r="G63" s="13"/>
      <c r="H63" s="13"/>
      <c r="I63" s="13"/>
      <c r="J63" s="13"/>
      <c r="K63" s="13"/>
      <c r="L63" s="13"/>
    </row>
    <row r="64" spans="2:12" x14ac:dyDescent="0.2">
      <c r="B64" s="178" t="s">
        <v>69</v>
      </c>
      <c r="C64" s="13"/>
      <c r="D64" s="13"/>
      <c r="E64" s="13"/>
      <c r="F64" s="13"/>
      <c r="H64" s="13"/>
      <c r="I64" s="13"/>
      <c r="J64" s="13"/>
      <c r="K64" s="13"/>
      <c r="L64" s="13"/>
    </row>
    <row r="65" spans="1:12" x14ac:dyDescent="0.2">
      <c r="B65" s="158" t="s">
        <v>70</v>
      </c>
      <c r="C65" s="246">
        <v>105221907</v>
      </c>
      <c r="D65" s="247">
        <v>141580917</v>
      </c>
      <c r="E65" s="247">
        <v>150404130</v>
      </c>
      <c r="F65" s="248">
        <v>153765412</v>
      </c>
      <c r="G65" s="246">
        <v>153676514</v>
      </c>
      <c r="H65" s="249">
        <f>G65</f>
        <v>153676514</v>
      </c>
      <c r="I65" s="249">
        <f>H65-I67</f>
        <v>149176514</v>
      </c>
      <c r="J65" s="249">
        <f t="shared" ref="J65:L65" si="41">I65-J67</f>
        <v>144676514</v>
      </c>
      <c r="K65" s="249">
        <f t="shared" si="41"/>
        <v>140176514</v>
      </c>
      <c r="L65" s="249">
        <f t="shared" si="41"/>
        <v>135676514</v>
      </c>
    </row>
    <row r="66" spans="1:12" x14ac:dyDescent="0.2">
      <c r="B66" s="158" t="s">
        <v>71</v>
      </c>
      <c r="C66" s="246">
        <v>105221907</v>
      </c>
      <c r="D66" s="247">
        <v>141580917</v>
      </c>
      <c r="E66" s="247">
        <v>150404130</v>
      </c>
      <c r="F66" s="248">
        <v>153765412</v>
      </c>
      <c r="G66" s="246">
        <v>153676514</v>
      </c>
      <c r="H66" s="249">
        <f>C76</f>
        <v>153740509.24571428</v>
      </c>
      <c r="I66" s="249">
        <f>H66-I67</f>
        <v>149240509.24571428</v>
      </c>
      <c r="J66" s="249">
        <f t="shared" ref="J66:L66" si="42">I66-J67</f>
        <v>144740509.24571428</v>
      </c>
      <c r="K66" s="249">
        <f t="shared" si="42"/>
        <v>140240509.24571428</v>
      </c>
      <c r="L66" s="249">
        <f t="shared" si="42"/>
        <v>135740509.24571428</v>
      </c>
    </row>
    <row r="67" spans="1:12" x14ac:dyDescent="0.2">
      <c r="B67" s="196" t="s">
        <v>72</v>
      </c>
      <c r="C67" s="250"/>
      <c r="D67" s="250"/>
      <c r="E67" s="250"/>
      <c r="F67" s="250"/>
      <c r="G67" s="250"/>
      <c r="H67" s="250">
        <v>4500000</v>
      </c>
      <c r="I67" s="250">
        <v>4500000</v>
      </c>
      <c r="J67" s="250">
        <v>4500000</v>
      </c>
      <c r="K67" s="250">
        <v>4500000</v>
      </c>
      <c r="L67" s="250">
        <v>4500000</v>
      </c>
    </row>
    <row r="68" spans="1:12" x14ac:dyDescent="0.2">
      <c r="C68" s="251"/>
      <c r="D68" s="251"/>
      <c r="E68" s="251"/>
      <c r="F68" s="251"/>
      <c r="G68" s="251"/>
      <c r="H68" s="251"/>
      <c r="I68" s="251"/>
      <c r="J68" s="251"/>
      <c r="K68" s="251"/>
      <c r="L68" s="251"/>
    </row>
    <row r="70" spans="1:12" s="142" customFormat="1" x14ac:dyDescent="0.2">
      <c r="A70" s="88" t="s">
        <v>0</v>
      </c>
      <c r="B70" s="88" t="s">
        <v>73</v>
      </c>
    </row>
    <row r="71" spans="1:12" x14ac:dyDescent="0.2">
      <c r="B71" s="197" t="s">
        <v>74</v>
      </c>
      <c r="C71" s="13">
        <f>G66</f>
        <v>153676514</v>
      </c>
    </row>
    <row r="72" spans="1:12" x14ac:dyDescent="0.2">
      <c r="B72" s="197" t="s">
        <v>75</v>
      </c>
      <c r="C72" s="13">
        <f>E86</f>
        <v>2449818</v>
      </c>
    </row>
    <row r="73" spans="1:12" x14ac:dyDescent="0.2">
      <c r="B73" s="197" t="s">
        <v>76</v>
      </c>
      <c r="C73" s="13">
        <f>F86/C88</f>
        <v>2385822.7542857141</v>
      </c>
    </row>
    <row r="74" spans="1:12" x14ac:dyDescent="0.2">
      <c r="B74" s="197" t="s">
        <v>77</v>
      </c>
      <c r="C74" s="13">
        <v>0</v>
      </c>
    </row>
    <row r="75" spans="1:12" x14ac:dyDescent="0.2">
      <c r="B75" s="198" t="s">
        <v>78</v>
      </c>
      <c r="C75" s="25">
        <f>C72-C73</f>
        <v>63995.245714285877</v>
      </c>
    </row>
    <row r="76" spans="1:12" x14ac:dyDescent="0.2">
      <c r="B76" s="199" t="s">
        <v>79</v>
      </c>
      <c r="C76" s="13">
        <f>C71+C74+C75</f>
        <v>153740509.24571428</v>
      </c>
    </row>
    <row r="77" spans="1:12" x14ac:dyDescent="0.2">
      <c r="B77" s="158"/>
    </row>
    <row r="78" spans="1:12" x14ac:dyDescent="0.2">
      <c r="B78" s="200" t="s">
        <v>80</v>
      </c>
      <c r="C78" s="82"/>
      <c r="D78" s="82"/>
      <c r="E78" s="82"/>
      <c r="F78" s="82"/>
    </row>
    <row r="79" spans="1:12" x14ac:dyDescent="0.2">
      <c r="B79" s="158"/>
      <c r="C79" s="178" t="s">
        <v>81</v>
      </c>
      <c r="D79" s="178" t="s">
        <v>82</v>
      </c>
      <c r="E79" s="178" t="s">
        <v>83</v>
      </c>
      <c r="F79" s="178"/>
    </row>
    <row r="80" spans="1:12" x14ac:dyDescent="0.2">
      <c r="B80" s="201" t="s">
        <v>84</v>
      </c>
      <c r="C80" s="201" t="s">
        <v>85</v>
      </c>
      <c r="D80" s="201" t="s">
        <v>86</v>
      </c>
      <c r="E80" s="201" t="s">
        <v>85</v>
      </c>
      <c r="F80" s="201" t="s">
        <v>87</v>
      </c>
    </row>
    <row r="81" spans="2:6" x14ac:dyDescent="0.2">
      <c r="B81" s="158" t="s">
        <v>88</v>
      </c>
      <c r="C81" s="202">
        <v>2449818</v>
      </c>
      <c r="D81" s="203">
        <v>11.93</v>
      </c>
      <c r="E81" s="204">
        <f>C81</f>
        <v>2449818</v>
      </c>
      <c r="F81" s="204">
        <f>E81*D81</f>
        <v>29226328.739999998</v>
      </c>
    </row>
    <row r="82" spans="2:6" x14ac:dyDescent="0.2">
      <c r="B82" s="158" t="s">
        <v>89</v>
      </c>
      <c r="C82" s="202">
        <v>2176643</v>
      </c>
      <c r="D82" s="203">
        <v>13.92</v>
      </c>
      <c r="E82" s="204">
        <v>0</v>
      </c>
      <c r="F82" s="204">
        <f t="shared" ref="F82:F85" si="43">E82*D82</f>
        <v>0</v>
      </c>
    </row>
    <row r="83" spans="2:6" x14ac:dyDescent="0.2">
      <c r="B83" s="158" t="s">
        <v>90</v>
      </c>
      <c r="C83" s="202">
        <v>1835467</v>
      </c>
      <c r="D83" s="203">
        <v>16.45</v>
      </c>
      <c r="E83" s="204">
        <v>0</v>
      </c>
      <c r="F83" s="204">
        <f t="shared" si="43"/>
        <v>0</v>
      </c>
    </row>
    <row r="84" spans="2:6" x14ac:dyDescent="0.2">
      <c r="B84" s="158" t="s">
        <v>91</v>
      </c>
      <c r="C84" s="202">
        <v>1976335</v>
      </c>
      <c r="D84" s="203">
        <v>23.3</v>
      </c>
      <c r="E84" s="204">
        <v>0</v>
      </c>
      <c r="F84" s="204">
        <f t="shared" si="43"/>
        <v>0</v>
      </c>
    </row>
    <row r="85" spans="2:6" x14ac:dyDescent="0.2">
      <c r="B85" s="205" t="s">
        <v>92</v>
      </c>
      <c r="C85" s="206">
        <v>1884285</v>
      </c>
      <c r="D85" s="207">
        <v>49.14</v>
      </c>
      <c r="E85" s="208">
        <v>0</v>
      </c>
      <c r="F85" s="208">
        <f t="shared" si="43"/>
        <v>0</v>
      </c>
    </row>
    <row r="86" spans="2:6" x14ac:dyDescent="0.2">
      <c r="B86" s="178" t="s">
        <v>93</v>
      </c>
      <c r="C86" s="204">
        <f>SUM(C81:C85)</f>
        <v>10322548</v>
      </c>
      <c r="E86" s="204">
        <f>SUM(E81:E85)</f>
        <v>2449818</v>
      </c>
      <c r="F86" s="209">
        <f>SUM(F81:F85)</f>
        <v>29226328.739999998</v>
      </c>
    </row>
    <row r="87" spans="2:6" x14ac:dyDescent="0.2">
      <c r="B87" s="158"/>
    </row>
    <row r="88" spans="2:6" x14ac:dyDescent="0.2">
      <c r="B88" s="210" t="s">
        <v>94</v>
      </c>
      <c r="C88" s="211">
        <v>12.25</v>
      </c>
      <c r="D88" s="184" t="s">
        <v>95</v>
      </c>
      <c r="E88" s="184"/>
    </row>
    <row r="90" spans="2:6" x14ac:dyDescent="0.2">
      <c r="C90" s="178" t="s">
        <v>81</v>
      </c>
      <c r="D90" s="178" t="s">
        <v>96</v>
      </c>
    </row>
    <row r="91" spans="2:6" x14ac:dyDescent="0.2">
      <c r="B91" s="77" t="s">
        <v>97</v>
      </c>
      <c r="C91" s="201" t="s">
        <v>85</v>
      </c>
      <c r="D91" s="201" t="s">
        <v>98</v>
      </c>
      <c r="E91" s="201" t="s">
        <v>87</v>
      </c>
    </row>
    <row r="92" spans="2:6" x14ac:dyDescent="0.2">
      <c r="B92" t="s">
        <v>99</v>
      </c>
      <c r="C92" s="202">
        <v>6760182</v>
      </c>
      <c r="D92" s="203">
        <v>15.56</v>
      </c>
      <c r="E92" s="212"/>
    </row>
    <row r="93" spans="2:6" x14ac:dyDescent="0.2">
      <c r="B93" t="s">
        <v>100</v>
      </c>
      <c r="C93" s="202">
        <v>160824</v>
      </c>
      <c r="D93" s="203">
        <v>18.68</v>
      </c>
      <c r="E93" s="212"/>
    </row>
    <row r="94" spans="2:6" x14ac:dyDescent="0.2">
      <c r="C94" s="202"/>
      <c r="D94" s="203"/>
      <c r="E94" s="212"/>
    </row>
    <row r="98" spans="1:15" ht="19" x14ac:dyDescent="0.25">
      <c r="A98" s="84" t="s">
        <v>0</v>
      </c>
      <c r="B98" s="84" t="s">
        <v>101</v>
      </c>
      <c r="C98" s="7"/>
      <c r="D98" s="7"/>
      <c r="E98" s="7"/>
      <c r="F98" s="7"/>
      <c r="G98" s="7"/>
      <c r="H98" s="8"/>
      <c r="I98" s="8"/>
      <c r="J98" s="8"/>
      <c r="K98" s="8"/>
      <c r="L98" s="8"/>
    </row>
    <row r="99" spans="1:15" x14ac:dyDescent="0.2">
      <c r="A99" s="87"/>
      <c r="B99" s="87" t="s">
        <v>102</v>
      </c>
      <c r="C99" s="310" t="s">
        <v>3</v>
      </c>
      <c r="D99" s="310"/>
      <c r="E99" s="310"/>
      <c r="F99" s="310"/>
      <c r="G99" s="310"/>
      <c r="H99" s="311" t="s">
        <v>4</v>
      </c>
      <c r="I99" s="311"/>
      <c r="J99" s="311"/>
      <c r="K99" s="311"/>
      <c r="L99" s="311"/>
    </row>
    <row r="100" spans="1:15" x14ac:dyDescent="0.2">
      <c r="A100" s="87"/>
      <c r="B100" s="88" t="s">
        <v>6</v>
      </c>
      <c r="C100" s="10" t="s">
        <v>7</v>
      </c>
      <c r="D100" s="10" t="s">
        <v>8</v>
      </c>
      <c r="E100" s="10" t="s">
        <v>9</v>
      </c>
      <c r="F100" s="10" t="s">
        <v>10</v>
      </c>
      <c r="G100" s="10" t="s">
        <v>11</v>
      </c>
      <c r="H100" s="74" t="s">
        <v>12</v>
      </c>
      <c r="I100" s="74" t="s">
        <v>13</v>
      </c>
      <c r="J100" s="74" t="s">
        <v>14</v>
      </c>
      <c r="K100" s="74" t="s">
        <v>15</v>
      </c>
      <c r="L100" s="74" t="s">
        <v>16</v>
      </c>
    </row>
    <row r="101" spans="1:15" x14ac:dyDescent="0.2">
      <c r="B101" s="70" t="s">
        <v>103</v>
      </c>
    </row>
    <row r="102" spans="1:15" x14ac:dyDescent="0.2">
      <c r="B102" s="213" t="s">
        <v>104</v>
      </c>
    </row>
    <row r="103" spans="1:15" x14ac:dyDescent="0.2">
      <c r="B103" s="214" t="s">
        <v>105</v>
      </c>
      <c r="C103" s="145">
        <v>807150</v>
      </c>
      <c r="D103" s="145">
        <v>953654</v>
      </c>
      <c r="E103" s="145">
        <v>800154</v>
      </c>
      <c r="F103" s="145">
        <v>722102</v>
      </c>
      <c r="G103" s="145">
        <v>558469</v>
      </c>
      <c r="H103" s="13">
        <f ca="1">H213</f>
        <v>482731.75765760371</v>
      </c>
      <c r="I103" s="13">
        <f ca="1">I213</f>
        <v>437301.32924648467</v>
      </c>
      <c r="J103" s="13">
        <f ca="1">J213</f>
        <v>468304.17127946031</v>
      </c>
      <c r="K103" s="13">
        <f ca="1">K213</f>
        <v>575109.62747493235</v>
      </c>
      <c r="L103" s="13">
        <f ca="1">L213</f>
        <v>759706.06753826537</v>
      </c>
    </row>
    <row r="104" spans="1:15" s="69" customFormat="1" x14ac:dyDescent="0.2">
      <c r="B104" s="215" t="s">
        <v>106</v>
      </c>
      <c r="C104" s="15">
        <f t="shared" ref="C104:G104" si="44">C103/C$124</f>
        <v>0.38338608068420987</v>
      </c>
      <c r="D104" s="15">
        <f t="shared" si="44"/>
        <v>0.26344178697119874</v>
      </c>
      <c r="E104" s="15">
        <f t="shared" si="44"/>
        <v>0.29982553512304722</v>
      </c>
      <c r="F104" s="15">
        <f t="shared" si="44"/>
        <v>0.28041119094236694</v>
      </c>
      <c r="G104" s="15">
        <f t="shared" si="44"/>
        <v>0.30580882848182817</v>
      </c>
      <c r="H104" s="15">
        <f ca="1">H103/H$124</f>
        <v>0.26414517042981284</v>
      </c>
      <c r="I104" s="15">
        <f ca="1">I103/I$124</f>
        <v>0.23463606620079522</v>
      </c>
      <c r="J104" s="15">
        <f ca="1">J103/J$124</f>
        <v>0.23477978464654284</v>
      </c>
      <c r="K104" s="15">
        <f ca="1">K103/K$124</f>
        <v>0.2595793181816356</v>
      </c>
      <c r="L104" s="15">
        <f ca="1">L103/L$124</f>
        <v>0.30018421991764849</v>
      </c>
    </row>
    <row r="105" spans="1:15" x14ac:dyDescent="0.2">
      <c r="B105" s="214" t="s">
        <v>107</v>
      </c>
      <c r="C105" s="145">
        <v>24771</v>
      </c>
      <c r="D105" s="145">
        <v>45766</v>
      </c>
      <c r="E105" s="145">
        <v>54842</v>
      </c>
      <c r="F105" s="145">
        <v>62284</v>
      </c>
      <c r="G105" s="145">
        <v>53077</v>
      </c>
      <c r="H105" s="13">
        <f>(H4*H106)/365</f>
        <v>85573.960396536451</v>
      </c>
      <c r="I105" s="13">
        <f>(I4*I106)/365</f>
        <v>104282.58482509597</v>
      </c>
      <c r="J105" s="13">
        <f>(J4*J106)/365</f>
        <v>127700.24343083885</v>
      </c>
      <c r="K105" s="13">
        <f>(K4*K106)/365</f>
        <v>154748.33026099653</v>
      </c>
      <c r="L105" s="13">
        <f>(L4*L106)/365</f>
        <v>185577.60448067478</v>
      </c>
      <c r="N105" t="s">
        <v>0</v>
      </c>
    </row>
    <row r="106" spans="1:15" s="69" customFormat="1" x14ac:dyDescent="0.2">
      <c r="B106" s="215" t="s">
        <v>108</v>
      </c>
      <c r="C106" s="15"/>
      <c r="D106" s="216">
        <f>(AVERAGE(C105:D105)/D4)*365</f>
        <v>23.474944927895663</v>
      </c>
      <c r="E106" s="216">
        <f>(AVERAGE(D105:E105)/E4)*365</f>
        <v>25.134577950078441</v>
      </c>
      <c r="F106" s="216">
        <f>(AVERAGE(E105:F105)/F4)*365</f>
        <v>23.508413342571512</v>
      </c>
      <c r="G106" s="216">
        <f>(AVERAGE(F105:G105)/G4)*365</f>
        <v>19.551331877202074</v>
      </c>
      <c r="H106" s="217">
        <f>AVERAGE($D$106:$G$106)</f>
        <v>22.917317024436922</v>
      </c>
      <c r="I106" s="217">
        <f t="shared" ref="I106:L106" si="45">AVERAGE($D$106:$G$106)</f>
        <v>22.917317024436922</v>
      </c>
      <c r="J106" s="217">
        <f t="shared" si="45"/>
        <v>22.917317024436922</v>
      </c>
      <c r="K106" s="217">
        <f t="shared" si="45"/>
        <v>22.917317024436922</v>
      </c>
      <c r="L106" s="217">
        <f t="shared" si="45"/>
        <v>22.917317024436922</v>
      </c>
    </row>
    <row r="107" spans="1:15" x14ac:dyDescent="0.2">
      <c r="B107" s="214" t="s">
        <v>109</v>
      </c>
      <c r="C107" s="145">
        <v>0</v>
      </c>
      <c r="D107" s="218">
        <v>0</v>
      </c>
      <c r="E107" s="145">
        <v>29492</v>
      </c>
      <c r="F107" s="145">
        <v>74236</v>
      </c>
      <c r="G107" s="219">
        <v>106169</v>
      </c>
      <c r="H107" s="220">
        <f>H108*H4</f>
        <v>134376.37382741214</v>
      </c>
      <c r="I107" s="220">
        <f>I108*I4</f>
        <v>163754.43577942761</v>
      </c>
      <c r="J107" s="220">
        <f>J108*J4</f>
        <v>200527.07119779941</v>
      </c>
      <c r="K107" s="220">
        <f>K108*K4</f>
        <v>243000.55040062341</v>
      </c>
      <c r="L107" s="220">
        <f>L108*L4</f>
        <v>291411.60977165797</v>
      </c>
      <c r="N107" t="s">
        <v>0</v>
      </c>
    </row>
    <row r="108" spans="1:15" s="69" customFormat="1" x14ac:dyDescent="0.2">
      <c r="B108" s="215" t="s">
        <v>110</v>
      </c>
      <c r="C108" s="17">
        <f>C107/C124</f>
        <v>0</v>
      </c>
      <c r="D108" s="17">
        <f>D107/D124</f>
        <v>0</v>
      </c>
      <c r="E108" s="15">
        <f>E107/E4</f>
        <v>4.0372016109381716E-2</v>
      </c>
      <c r="F108" s="15">
        <f>F107/F4</f>
        <v>8.1643516227303217E-2</v>
      </c>
      <c r="G108" s="15">
        <f>G107/G4</f>
        <v>9.859438757979469E-2</v>
      </c>
      <c r="H108" s="149">
        <f>G108</f>
        <v>9.859438757979469E-2</v>
      </c>
      <c r="I108" s="149">
        <f t="shared" ref="I108:L108" si="46">H108</f>
        <v>9.859438757979469E-2</v>
      </c>
      <c r="J108" s="149">
        <f t="shared" si="46"/>
        <v>9.859438757979469E-2</v>
      </c>
      <c r="K108" s="149">
        <f t="shared" si="46"/>
        <v>9.859438757979469E-2</v>
      </c>
      <c r="L108" s="149">
        <f t="shared" si="46"/>
        <v>9.859438757979469E-2</v>
      </c>
      <c r="O108" s="17"/>
    </row>
    <row r="109" spans="1:15" x14ac:dyDescent="0.2">
      <c r="B109" s="214" t="s">
        <v>111</v>
      </c>
      <c r="C109" s="145">
        <v>1573</v>
      </c>
      <c r="D109" s="145">
        <v>7540</v>
      </c>
      <c r="E109" s="145">
        <v>12839</v>
      </c>
      <c r="F109" s="145">
        <v>16492</v>
      </c>
      <c r="G109" s="145">
        <v>14612</v>
      </c>
      <c r="H109" s="13">
        <f>(H6*H110)/365</f>
        <v>18369.516962029829</v>
      </c>
      <c r="I109" s="13">
        <f>(I6*I110)/365</f>
        <v>24374.148580366287</v>
      </c>
      <c r="J109" s="13">
        <f>(J6*J110)/365</f>
        <v>29827.951250664886</v>
      </c>
      <c r="K109" s="13">
        <f>(K6*K110)/365</f>
        <v>35018.383204431091</v>
      </c>
      <c r="L109" s="13">
        <f>(L6*L110)/365</f>
        <v>41925.411393972012</v>
      </c>
      <c r="N109" t="s">
        <v>0</v>
      </c>
    </row>
    <row r="110" spans="1:15" s="69" customFormat="1" x14ac:dyDescent="0.2">
      <c r="B110" s="215" t="s">
        <v>112</v>
      </c>
      <c r="C110" s="17"/>
      <c r="D110" s="221">
        <f>(AVERAGE(C109:D109)/D6)*365</f>
        <v>5.9997420625615536</v>
      </c>
      <c r="E110" s="221">
        <f>(AVERAGE(D109:E109)/E6)*365</f>
        <v>9.3318634031288816</v>
      </c>
      <c r="F110" s="221">
        <f>(AVERAGE(E109:F109)/F6)*365</f>
        <v>10.215082439601542</v>
      </c>
      <c r="G110" s="221">
        <f>(AVERAGE(F109:G109)/G6)*365</f>
        <v>9.0588729072278138</v>
      </c>
      <c r="H110" s="222">
        <f>AVERAGE(D110:G110)</f>
        <v>8.6513902031299477</v>
      </c>
      <c r="I110" s="222">
        <f t="shared" ref="I110:L110" si="47">AVERAGE(E110:H110)</f>
        <v>9.3143022382720471</v>
      </c>
      <c r="J110" s="222">
        <f t="shared" si="47"/>
        <v>9.309911947057838</v>
      </c>
      <c r="K110" s="222">
        <f t="shared" si="47"/>
        <v>9.0836193239219121</v>
      </c>
      <c r="L110" s="222">
        <f t="shared" si="47"/>
        <v>9.0898059280954371</v>
      </c>
    </row>
    <row r="111" spans="1:15" x14ac:dyDescent="0.2">
      <c r="B111" s="214" t="s">
        <v>113</v>
      </c>
      <c r="C111" s="145">
        <v>24171</v>
      </c>
      <c r="D111" s="218">
        <v>35535</v>
      </c>
      <c r="E111" s="218">
        <v>37005</v>
      </c>
      <c r="F111" s="218">
        <v>42786</v>
      </c>
      <c r="G111" s="218">
        <v>65696</v>
      </c>
      <c r="H111" s="220">
        <f>H112*H4</f>
        <v>76160.6553879196</v>
      </c>
      <c r="I111" s="220">
        <f>I112*I4</f>
        <v>92811.294101880601</v>
      </c>
      <c r="J111" s="220">
        <f>J112*J4</f>
        <v>113652.9639135786</v>
      </c>
      <c r="K111" s="220">
        <f>K112*K4</f>
        <v>137725.70765978887</v>
      </c>
      <c r="L111" s="220">
        <f>L112*L4</f>
        <v>165163.70069907821</v>
      </c>
      <c r="N111" t="s">
        <v>0</v>
      </c>
    </row>
    <row r="112" spans="1:15" s="69" customFormat="1" x14ac:dyDescent="0.2">
      <c r="B112" s="215" t="s">
        <v>110</v>
      </c>
      <c r="C112" s="179">
        <f>C111/C4</f>
        <v>0.10901194256025401</v>
      </c>
      <c r="D112" s="179">
        <f>D111/D4</f>
        <v>6.4800901577761083E-2</v>
      </c>
      <c r="E112" s="179">
        <f>E111/E4</f>
        <v>5.0656668117715666E-2</v>
      </c>
      <c r="F112" s="179">
        <f>F111/F4</f>
        <v>4.7055330099970309E-2</v>
      </c>
      <c r="G112" s="179">
        <f>G111/G4</f>
        <v>6.1008928090517875E-2</v>
      </c>
      <c r="H112" s="180">
        <f>AVERAGE($D$112:$G$112)</f>
        <v>5.588045697149123E-2</v>
      </c>
      <c r="I112" s="180">
        <f t="shared" ref="I112:L112" si="48">AVERAGE($D$112:$G$112)</f>
        <v>5.588045697149123E-2</v>
      </c>
      <c r="J112" s="180">
        <f t="shared" si="48"/>
        <v>5.588045697149123E-2</v>
      </c>
      <c r="K112" s="180">
        <f t="shared" si="48"/>
        <v>5.588045697149123E-2</v>
      </c>
      <c r="L112" s="180">
        <f t="shared" si="48"/>
        <v>5.588045697149123E-2</v>
      </c>
      <c r="M112" s="69" t="s">
        <v>114</v>
      </c>
    </row>
    <row r="113" spans="2:14" x14ac:dyDescent="0.2">
      <c r="B113" s="213" t="s">
        <v>115</v>
      </c>
      <c r="C113" s="145">
        <f>SUM(C111,C109,C105,C103,C107)</f>
        <v>857665</v>
      </c>
      <c r="D113" s="145">
        <f t="shared" ref="D113:G113" si="49">SUM(D111,D109,D105,D103,D107)</f>
        <v>1042495</v>
      </c>
      <c r="E113" s="145">
        <f t="shared" si="49"/>
        <v>934332</v>
      </c>
      <c r="F113" s="145">
        <f t="shared" si="49"/>
        <v>917900</v>
      </c>
      <c r="G113" s="145">
        <f t="shared" si="49"/>
        <v>798023</v>
      </c>
      <c r="H113" s="13">
        <f ca="1">SUM(H111,H109,H105,H103,H107)</f>
        <v>797212.26423150173</v>
      </c>
      <c r="I113" s="13">
        <f ca="1">SUM(I111,I109,I105,I103,I107)</f>
        <v>822523.79253325518</v>
      </c>
      <c r="J113" s="13">
        <f ca="1">SUM(J111,J109,J105,J103,J107)</f>
        <v>940012.40107234207</v>
      </c>
      <c r="K113" s="13">
        <f ca="1">SUM(K111,K109,K105,K103,K107)</f>
        <v>1145602.5990007722</v>
      </c>
      <c r="L113" s="13">
        <f ca="1">SUM(L111,L109,L105,L103,L107)</f>
        <v>1443784.3938836483</v>
      </c>
    </row>
    <row r="114" spans="2:14" x14ac:dyDescent="0.2">
      <c r="C114" s="145"/>
      <c r="D114" s="145"/>
      <c r="E114" s="145"/>
      <c r="F114" s="145"/>
      <c r="G114" s="145"/>
      <c r="H114" s="13"/>
      <c r="I114" s="13"/>
      <c r="J114" s="13"/>
      <c r="K114" s="13"/>
      <c r="L114" s="13"/>
    </row>
    <row r="115" spans="2:14" x14ac:dyDescent="0.2">
      <c r="B115" s="213" t="s">
        <v>116</v>
      </c>
      <c r="C115" s="13"/>
      <c r="D115" s="220"/>
      <c r="E115" s="220"/>
      <c r="F115" s="220"/>
      <c r="G115" s="220"/>
      <c r="H115" s="220"/>
      <c r="I115" s="220"/>
      <c r="J115" s="220"/>
      <c r="K115" s="220"/>
      <c r="L115" s="220"/>
    </row>
    <row r="116" spans="2:14" x14ac:dyDescent="0.2">
      <c r="B116" s="214" t="s">
        <v>117</v>
      </c>
      <c r="C116" s="145">
        <v>21206</v>
      </c>
      <c r="D116" s="145">
        <v>25539</v>
      </c>
      <c r="E116" s="145">
        <v>20973</v>
      </c>
      <c r="F116" s="145">
        <v>17075</v>
      </c>
      <c r="G116" s="145">
        <v>12714</v>
      </c>
      <c r="H116" s="13">
        <f>G116+'Depreciation Schedules '!H71-H20</f>
        <v>13329.239796198259</v>
      </c>
      <c r="I116" s="13">
        <f>H116+'Depreciation Schedules '!I71-'Vertical Statements '!I20</f>
        <v>13765.616898753113</v>
      </c>
      <c r="J116" s="13">
        <f>I116+'Depreciation Schedules '!J71-'Vertical Statements '!J20</f>
        <v>14025.254988390432</v>
      </c>
      <c r="K116" s="13">
        <f>J116+'Depreciation Schedules '!K71-'Vertical Statements '!K20</f>
        <v>13959.994621856506</v>
      </c>
      <c r="L116" s="13">
        <f>K116+'Depreciation Schedules '!L71-'Vertical Statements '!L20</f>
        <v>13371.256011242829</v>
      </c>
      <c r="M116" t="s">
        <v>118</v>
      </c>
    </row>
    <row r="117" spans="2:14" x14ac:dyDescent="0.2">
      <c r="B117" s="214" t="s">
        <v>119</v>
      </c>
      <c r="C117" s="145">
        <v>8342</v>
      </c>
      <c r="D117" s="218">
        <v>16456</v>
      </c>
      <c r="E117" s="218">
        <v>19491</v>
      </c>
      <c r="F117" s="218">
        <v>20496</v>
      </c>
      <c r="G117" s="218">
        <v>17102</v>
      </c>
      <c r="H117" s="220">
        <f>G117+'Depreciation Schedules '!H5-'Vertical Statements '!H18</f>
        <v>18293.313481288056</v>
      </c>
      <c r="I117" s="220">
        <f>H117+'Depreciation Schedules '!I5-'Vertical Statements '!I18</f>
        <v>19824.903673584824</v>
      </c>
      <c r="J117" s="220">
        <f>I117+'Depreciation Schedules '!J5-'Vertical Statements '!J18</f>
        <v>21797.447456206362</v>
      </c>
      <c r="K117" s="220">
        <f>J117+'Depreciation Schedules '!K5-'Vertical Statements '!K18</f>
        <v>24240.811690996423</v>
      </c>
      <c r="L117" s="220">
        <f>K117+'Depreciation Schedules '!L5-'Vertical Statements '!L18</f>
        <v>27171.992484482173</v>
      </c>
      <c r="N117" t="s">
        <v>0</v>
      </c>
    </row>
    <row r="118" spans="2:14" x14ac:dyDescent="0.2">
      <c r="B118" s="214" t="s">
        <v>120</v>
      </c>
      <c r="C118" s="145">
        <v>234493</v>
      </c>
      <c r="D118" s="145">
        <v>409568</v>
      </c>
      <c r="E118" s="145">
        <v>311450</v>
      </c>
      <c r="F118" s="145">
        <v>227031</v>
      </c>
      <c r="G118" s="145">
        <v>159542</v>
      </c>
      <c r="H118" s="13">
        <f>G118</f>
        <v>159542</v>
      </c>
      <c r="I118" s="13">
        <f>H118</f>
        <v>159542</v>
      </c>
      <c r="J118" s="13">
        <f>I118</f>
        <v>159542</v>
      </c>
      <c r="K118" s="13">
        <f>J118</f>
        <v>159542</v>
      </c>
      <c r="L118" s="13">
        <f>K118</f>
        <v>159542</v>
      </c>
      <c r="N118" t="s">
        <v>0</v>
      </c>
    </row>
    <row r="119" spans="2:14" x14ac:dyDescent="0.2">
      <c r="B119" s="214" t="s">
        <v>121</v>
      </c>
      <c r="C119" s="145">
        <v>971939</v>
      </c>
      <c r="D119" s="145">
        <v>2104368</v>
      </c>
      <c r="E119" s="145">
        <v>1350645</v>
      </c>
      <c r="F119" s="145">
        <v>1349235</v>
      </c>
      <c r="G119" s="145">
        <v>797962</v>
      </c>
      <c r="H119" s="13">
        <f>G119</f>
        <v>797962</v>
      </c>
      <c r="I119" s="13">
        <f t="shared" ref="I119:L119" si="50">H119</f>
        <v>797962</v>
      </c>
      <c r="J119" s="13">
        <f t="shared" si="50"/>
        <v>797962</v>
      </c>
      <c r="K119" s="13">
        <f t="shared" si="50"/>
        <v>797962</v>
      </c>
      <c r="L119" s="13">
        <f t="shared" si="50"/>
        <v>797962</v>
      </c>
    </row>
    <row r="120" spans="2:14" s="69" customFormat="1" x14ac:dyDescent="0.2">
      <c r="B120" s="215" t="s">
        <v>122</v>
      </c>
      <c r="C120" s="91">
        <f>C119/C$124</f>
        <v>0.46165877950087375</v>
      </c>
      <c r="D120" s="91">
        <f>D119/D$124</f>
        <v>0.5813203387864021</v>
      </c>
      <c r="E120" s="91">
        <f>E119/E$124</f>
        <v>0.50609990062696442</v>
      </c>
      <c r="F120" s="91">
        <f>F119/F$124</f>
        <v>0.52394342241279546</v>
      </c>
      <c r="G120" s="91">
        <f>G119/G$124</f>
        <v>0.43695142325360325</v>
      </c>
      <c r="H120" s="182">
        <f ca="1">H119/H124</f>
        <v>0.43663547123828689</v>
      </c>
      <c r="I120" s="182">
        <f ca="1">I119/I124</f>
        <v>0.4281502299120305</v>
      </c>
      <c r="J120" s="182">
        <f ca="1">J119/J124</f>
        <v>0.40005056116471438</v>
      </c>
      <c r="K120" s="182">
        <f ca="1">K119/K124</f>
        <v>0.36016512678512375</v>
      </c>
      <c r="L120" s="182">
        <f ca="1">L119/L124</f>
        <v>0.31530036514005011</v>
      </c>
    </row>
    <row r="121" spans="2:14" x14ac:dyDescent="0.2">
      <c r="B121" s="214" t="s">
        <v>123</v>
      </c>
      <c r="C121" s="145">
        <v>11504</v>
      </c>
      <c r="D121" s="218">
        <v>21400</v>
      </c>
      <c r="E121" s="218">
        <v>31540</v>
      </c>
      <c r="F121" s="218">
        <v>42865</v>
      </c>
      <c r="G121" s="218">
        <v>40562</v>
      </c>
      <c r="H121" s="220">
        <f>H122*H4</f>
        <v>40887.633807347789</v>
      </c>
      <c r="I121" s="220">
        <f>I122*I4</f>
        <v>49826.701032114252</v>
      </c>
      <c r="J121" s="220">
        <f>J122*J4</f>
        <v>61015.766552282177</v>
      </c>
      <c r="K121" s="220">
        <f>K122*K4</f>
        <v>73939.46745821333</v>
      </c>
      <c r="L121" s="220">
        <f>L122*L4</f>
        <v>88669.837175816487</v>
      </c>
      <c r="N121" t="s">
        <v>0</v>
      </c>
    </row>
    <row r="122" spans="2:14" s="69" customFormat="1" x14ac:dyDescent="0.2">
      <c r="B122" s="215" t="s">
        <v>20</v>
      </c>
      <c r="C122" s="91">
        <f>C121/C4</f>
        <v>5.1883388656371772E-2</v>
      </c>
      <c r="D122" s="91">
        <f>D121/D4</f>
        <v>3.902460373614991E-2</v>
      </c>
      <c r="E122" s="91">
        <f>E121/E4</f>
        <v>4.3175552288413785E-2</v>
      </c>
      <c r="F122" s="91">
        <f>F121/F4</f>
        <v>4.7142212984042142E-2</v>
      </c>
      <c r="G122" s="91">
        <f>G121/G4</f>
        <v>3.7668109796754536E-2</v>
      </c>
      <c r="H122" s="182">
        <v>0.03</v>
      </c>
      <c r="I122" s="182">
        <v>0.03</v>
      </c>
      <c r="J122" s="182">
        <v>0.03</v>
      </c>
      <c r="K122" s="182">
        <v>0.03</v>
      </c>
      <c r="L122" s="182">
        <v>0.03</v>
      </c>
    </row>
    <row r="123" spans="2:14" x14ac:dyDescent="0.2">
      <c r="B123" s="214" t="s">
        <v>124</v>
      </c>
      <c r="C123" s="145">
        <v>170</v>
      </c>
      <c r="D123" s="145">
        <v>154</v>
      </c>
      <c r="E123" s="145">
        <v>301</v>
      </c>
      <c r="F123" s="145">
        <v>552</v>
      </c>
      <c r="G123" s="145">
        <v>298</v>
      </c>
      <c r="H123" s="13">
        <f>G123</f>
        <v>298</v>
      </c>
      <c r="I123" s="13">
        <f t="shared" ref="I123:L123" si="51">H123</f>
        <v>298</v>
      </c>
      <c r="J123" s="13">
        <f t="shared" si="51"/>
        <v>298</v>
      </c>
      <c r="K123" s="13">
        <f t="shared" si="51"/>
        <v>298</v>
      </c>
      <c r="L123" s="13">
        <f t="shared" si="51"/>
        <v>298</v>
      </c>
      <c r="N123" t="s">
        <v>0</v>
      </c>
    </row>
    <row r="124" spans="2:14" x14ac:dyDescent="0.2">
      <c r="B124" s="223" t="s">
        <v>125</v>
      </c>
      <c r="C124" s="192">
        <f t="shared" ref="C124:G124" si="52">SUM(C113,C116,C117,C118,C119,C121,C123)</f>
        <v>2105319</v>
      </c>
      <c r="D124" s="192">
        <f t="shared" si="52"/>
        <v>3619980</v>
      </c>
      <c r="E124" s="192">
        <f t="shared" si="52"/>
        <v>2668732</v>
      </c>
      <c r="F124" s="192">
        <f t="shared" si="52"/>
        <v>2575154</v>
      </c>
      <c r="G124" s="192">
        <f t="shared" si="52"/>
        <v>1826203</v>
      </c>
      <c r="H124" s="193">
        <f ca="1">SUM(H113,H116,H117,H118,H119,H121,H123)</f>
        <v>1827524.4513163359</v>
      </c>
      <c r="I124" s="193">
        <f ca="1">SUM(I113,I116,I117,I118,I119,I121,I123)</f>
        <v>1863743.0141377072</v>
      </c>
      <c r="J124" s="193">
        <f ca="1">SUM(J113,J116,J117,J118,J119,J121,J123)</f>
        <v>1994652.8700692211</v>
      </c>
      <c r="K124" s="193">
        <f ca="1">SUM(K113,K116,K117,K118,K119,K121,K123)</f>
        <v>2215544.8727718382</v>
      </c>
      <c r="L124" s="193">
        <f ca="1">SUM(L113,L116,L117,L118,L119,L121,L123)</f>
        <v>2530799.4795551896</v>
      </c>
    </row>
    <row r="125" spans="2:14" x14ac:dyDescent="0.2">
      <c r="C125" s="145"/>
      <c r="D125" s="145"/>
      <c r="E125" s="145"/>
      <c r="F125" s="145"/>
      <c r="G125" s="145"/>
      <c r="H125" s="13"/>
      <c r="I125" s="13"/>
      <c r="J125" s="13"/>
      <c r="K125" s="13"/>
      <c r="L125" s="13"/>
    </row>
    <row r="126" spans="2:14" x14ac:dyDescent="0.2">
      <c r="B126" s="70" t="s">
        <v>126</v>
      </c>
      <c r="C126" s="220">
        <f t="shared" ref="C126:G126" si="53">+C130+C141</f>
        <v>25678</v>
      </c>
      <c r="D126" s="220">
        <f t="shared" si="53"/>
        <v>30670</v>
      </c>
      <c r="E126" s="220">
        <f t="shared" si="53"/>
        <v>25191</v>
      </c>
      <c r="F126" s="220">
        <f t="shared" si="53"/>
        <v>23211</v>
      </c>
      <c r="G126" s="220">
        <f t="shared" si="53"/>
        <v>16973</v>
      </c>
      <c r="H126" s="220">
        <f>+H130+H141</f>
        <v>18445.049745247823</v>
      </c>
      <c r="I126" s="220">
        <f t="shared" ref="I126:L126" si="54">+I130+I141</f>
        <v>26911.781741635019</v>
      </c>
      <c r="J126" s="220">
        <f t="shared" si="54"/>
        <v>37383.017895607773</v>
      </c>
      <c r="K126" s="220">
        <f t="shared" si="54"/>
        <v>50167.396602073131</v>
      </c>
      <c r="L126" s="220">
        <f t="shared" si="54"/>
        <v>65648.067648984914</v>
      </c>
    </row>
    <row r="127" spans="2:14" x14ac:dyDescent="0.2">
      <c r="B127" s="213" t="s">
        <v>127</v>
      </c>
      <c r="C127" s="159">
        <f t="shared" ref="C127:F127" si="55">C126/C4</f>
        <v>0.11580855823351133</v>
      </c>
      <c r="D127" s="159">
        <f t="shared" si="55"/>
        <v>5.5929186756435413E-2</v>
      </c>
      <c r="E127" s="159">
        <f t="shared" si="55"/>
        <v>3.4484316350584389E-2</v>
      </c>
      <c r="F127" s="159">
        <f t="shared" si="55"/>
        <v>2.5527071166980105E-2</v>
      </c>
      <c r="G127" s="159">
        <f>G126/G4</f>
        <v>1.5762063694598757E-2</v>
      </c>
      <c r="H127" s="159">
        <f t="shared" ref="H127:L127" si="56">H126/H4</f>
        <v>1.3533468211065656E-2</v>
      </c>
      <c r="I127" s="159">
        <f t="shared" si="56"/>
        <v>1.6203229102578875E-2</v>
      </c>
      <c r="J127" s="159">
        <f t="shared" si="56"/>
        <v>1.8380340037312634E-2</v>
      </c>
      <c r="K127" s="159">
        <f t="shared" si="56"/>
        <v>2.0354784120033765E-2</v>
      </c>
      <c r="L127" s="159">
        <f t="shared" si="56"/>
        <v>2.2210958001022321E-2</v>
      </c>
    </row>
    <row r="128" spans="2:14" x14ac:dyDescent="0.2">
      <c r="B128" s="214" t="s">
        <v>128</v>
      </c>
      <c r="C128" s="145">
        <v>65052</v>
      </c>
      <c r="D128" s="145">
        <v>78307</v>
      </c>
      <c r="E128" s="145">
        <v>68827</v>
      </c>
      <c r="F128" s="145">
        <v>68679</v>
      </c>
      <c r="G128" s="145">
        <v>73075</v>
      </c>
      <c r="H128" s="13">
        <f>(H6*H129)/365</f>
        <v>78562.186150060399</v>
      </c>
      <c r="I128" s="13">
        <f>(I129*I6)/365</f>
        <v>96823.516609533952</v>
      </c>
      <c r="J128" s="13">
        <f>(J129*J6)/365</f>
        <v>118543.99940091553</v>
      </c>
      <c r="K128" s="13">
        <f>(K129*K6)/365</f>
        <v>142639.19835915492</v>
      </c>
      <c r="L128" s="13">
        <f>(L129*L6)/365</f>
        <v>170657.13325982878</v>
      </c>
      <c r="N128" t="s">
        <v>0</v>
      </c>
    </row>
    <row r="129" spans="2:14" x14ac:dyDescent="0.2">
      <c r="B129" s="215" t="s">
        <v>129</v>
      </c>
      <c r="C129" s="23"/>
      <c r="D129" s="216">
        <f>(AVERAGE(C128:D128)/D6)*365</f>
        <v>94.38352050332071</v>
      </c>
      <c r="E129" s="216">
        <f>(AVERAGE(D128:E128)/E6)*365</f>
        <v>67.374963931300101</v>
      </c>
      <c r="F129" s="216">
        <f>(AVERAGE(E128:F128)/F6)*365</f>
        <v>47.889097744360903</v>
      </c>
      <c r="G129" s="216">
        <f>(AVERAGE(F128:G128)/G6)*365</f>
        <v>41.285090988013486</v>
      </c>
      <c r="H129" s="217">
        <v>37</v>
      </c>
      <c r="I129" s="217">
        <f>H129</f>
        <v>37</v>
      </c>
      <c r="J129" s="217">
        <f t="shared" ref="J129:L129" si="57">I129</f>
        <v>37</v>
      </c>
      <c r="K129" s="217">
        <f t="shared" si="57"/>
        <v>37</v>
      </c>
      <c r="L129" s="217">
        <f t="shared" si="57"/>
        <v>37</v>
      </c>
    </row>
    <row r="130" spans="2:14" x14ac:dyDescent="0.2">
      <c r="B130" s="214" t="s">
        <v>130</v>
      </c>
      <c r="C130" s="145">
        <v>5120</v>
      </c>
      <c r="D130" s="145">
        <v>7633</v>
      </c>
      <c r="E130" s="145">
        <v>6617</v>
      </c>
      <c r="F130" s="145">
        <v>6942</v>
      </c>
      <c r="G130" s="145">
        <v>5654</v>
      </c>
      <c r="H130" s="13">
        <f>((H116-G116)*H131)</f>
        <v>217.25181811833005</v>
      </c>
      <c r="I130" s="13">
        <f t="shared" ref="I130:L130" si="58">((I116-H116)*I131)</f>
        <v>162.81984801223624</v>
      </c>
      <c r="J130" s="13">
        <f t="shared" si="58"/>
        <v>102.068225801818</v>
      </c>
      <c r="K130" s="13">
        <f t="shared" si="58"/>
        <v>-26.960186677502371</v>
      </c>
      <c r="L130" s="13">
        <f t="shared" si="58"/>
        <v>-254.99287976222942</v>
      </c>
      <c r="M130" t="s">
        <v>118</v>
      </c>
    </row>
    <row r="131" spans="2:14" s="69" customFormat="1" x14ac:dyDescent="0.2">
      <c r="B131" s="215" t="s">
        <v>131</v>
      </c>
      <c r="C131" s="91">
        <f>C130/(C130+C141)</f>
        <v>0.19939247604953655</v>
      </c>
      <c r="D131" s="91">
        <f t="shared" ref="D131:G131" si="59">D130/(D130+D141)</f>
        <v>0.24887512226931854</v>
      </c>
      <c r="E131" s="91">
        <f t="shared" si="59"/>
        <v>0.26267317692826803</v>
      </c>
      <c r="F131" s="91">
        <f t="shared" si="59"/>
        <v>0.2990823316530955</v>
      </c>
      <c r="G131" s="91">
        <f t="shared" si="59"/>
        <v>0.33311730395333766</v>
      </c>
      <c r="H131" s="182">
        <f>1-H142</f>
        <v>0.35311730395333762</v>
      </c>
      <c r="I131" s="182">
        <f t="shared" ref="I131:L131" si="60">1-I142</f>
        <v>0.37311730395333764</v>
      </c>
      <c r="J131" s="182">
        <f t="shared" si="60"/>
        <v>0.39311730395333766</v>
      </c>
      <c r="K131" s="182">
        <f t="shared" si="60"/>
        <v>0.41311730395333768</v>
      </c>
      <c r="L131" s="182">
        <f t="shared" si="60"/>
        <v>0.4331173039533377</v>
      </c>
    </row>
    <row r="132" spans="2:14" x14ac:dyDescent="0.2">
      <c r="B132" s="214" t="s">
        <v>132</v>
      </c>
      <c r="C132" s="145">
        <v>114</v>
      </c>
      <c r="D132" s="218">
        <v>6718</v>
      </c>
      <c r="E132" s="218">
        <v>6919</v>
      </c>
      <c r="F132" s="218">
        <v>1709</v>
      </c>
      <c r="G132" s="218">
        <v>1540</v>
      </c>
      <c r="H132" s="220">
        <f>H133*H4</f>
        <v>1638.0966238290976</v>
      </c>
      <c r="I132" s="220">
        <f>I133*I4</f>
        <v>1996.2258300841154</v>
      </c>
      <c r="J132" s="220">
        <f>J133*J4</f>
        <v>2444.4975627735193</v>
      </c>
      <c r="K132" s="220">
        <f>K133*K4</f>
        <v>2962.2646441637471</v>
      </c>
      <c r="L132" s="220">
        <f>L133*L4</f>
        <v>3552.4129764407744</v>
      </c>
      <c r="N132" t="s">
        <v>0</v>
      </c>
    </row>
    <row r="133" spans="2:14" s="69" customFormat="1" x14ac:dyDescent="0.2">
      <c r="B133" s="215" t="s">
        <v>106</v>
      </c>
      <c r="C133" s="91">
        <f>C132/C$124</f>
        <v>5.414856370934761E-5</v>
      </c>
      <c r="D133" s="91">
        <f>D132/D$124</f>
        <v>1.8558113580738015E-3</v>
      </c>
      <c r="E133" s="91">
        <f>E132/E$124</f>
        <v>2.5926170181194666E-3</v>
      </c>
      <c r="F133" s="91">
        <f>F132/F$124</f>
        <v>6.6364963027453893E-4</v>
      </c>
      <c r="G133" s="91">
        <f>G132/G$124</f>
        <v>8.4327974491335295E-4</v>
      </c>
      <c r="H133" s="182">
        <f>AVERAGE(C133:G133)</f>
        <v>1.2019012630181015E-3</v>
      </c>
      <c r="I133" s="182">
        <f>H133</f>
        <v>1.2019012630181015E-3</v>
      </c>
      <c r="J133" s="182">
        <f t="shared" ref="J133:L133" si="61">I133</f>
        <v>1.2019012630181015E-3</v>
      </c>
      <c r="K133" s="182">
        <f t="shared" si="61"/>
        <v>1.2019012630181015E-3</v>
      </c>
      <c r="L133" s="182">
        <f t="shared" si="61"/>
        <v>1.2019012630181015E-3</v>
      </c>
    </row>
    <row r="134" spans="2:14" x14ac:dyDescent="0.2">
      <c r="B134" s="214" t="s">
        <v>133</v>
      </c>
      <c r="C134" s="145">
        <v>43116</v>
      </c>
      <c r="D134" s="145">
        <v>65194</v>
      </c>
      <c r="E134" s="145">
        <v>68094</v>
      </c>
      <c r="F134" s="145">
        <v>67336</v>
      </c>
      <c r="G134" s="145">
        <v>68714</v>
      </c>
      <c r="H134" s="13">
        <f ca="1">H135*H124</f>
        <v>68763.721857729237</v>
      </c>
      <c r="I134" s="13">
        <f t="shared" ref="I134:L134" ca="1" si="62">I135*I124</f>
        <v>70126.507005770123</v>
      </c>
      <c r="J134" s="13">
        <f t="shared" ca="1" si="62"/>
        <v>75052.213425307302</v>
      </c>
      <c r="K134" s="13">
        <f t="shared" ca="1" si="62"/>
        <v>83363.651460239678</v>
      </c>
      <c r="L134" s="13">
        <f t="shared" ca="1" si="62"/>
        <v>95225.643281801254</v>
      </c>
      <c r="N134" t="s">
        <v>0</v>
      </c>
    </row>
    <row r="135" spans="2:14" s="69" customFormat="1" x14ac:dyDescent="0.2">
      <c r="B135" s="215" t="s">
        <v>134</v>
      </c>
      <c r="C135" s="179">
        <f>C134/C$124</f>
        <v>2.0479556779756419E-2</v>
      </c>
      <c r="D135" s="179">
        <f>D134/D$124</f>
        <v>1.8009491765147875E-2</v>
      </c>
      <c r="E135" s="179">
        <f>E134/E$124</f>
        <v>2.5515488254347008E-2</v>
      </c>
      <c r="F135" s="179">
        <f>F134/F$124</f>
        <v>2.6148339089623378E-2</v>
      </c>
      <c r="G135" s="179">
        <f>G134/G$124</f>
        <v>3.7626704150633856E-2</v>
      </c>
      <c r="H135" s="180">
        <f>G135</f>
        <v>3.7626704150633856E-2</v>
      </c>
      <c r="I135" s="180">
        <f t="shared" ref="I135:L135" si="63">H135</f>
        <v>3.7626704150633856E-2</v>
      </c>
      <c r="J135" s="180">
        <f t="shared" si="63"/>
        <v>3.7626704150633856E-2</v>
      </c>
      <c r="K135" s="180">
        <f t="shared" si="63"/>
        <v>3.7626704150633856E-2</v>
      </c>
      <c r="L135" s="180">
        <f t="shared" si="63"/>
        <v>3.7626704150633856E-2</v>
      </c>
    </row>
    <row r="136" spans="2:14" x14ac:dyDescent="0.2">
      <c r="B136" s="213" t="s">
        <v>135</v>
      </c>
      <c r="C136" s="145">
        <f>SUM(C134,C132,C130,C128)</f>
        <v>113402</v>
      </c>
      <c r="D136" s="145">
        <f t="shared" ref="D136:L136" si="64">SUM(D134,D132,D130,D128)</f>
        <v>157852</v>
      </c>
      <c r="E136" s="145">
        <f t="shared" si="64"/>
        <v>150457</v>
      </c>
      <c r="F136" s="145">
        <f t="shared" si="64"/>
        <v>144666</v>
      </c>
      <c r="G136" s="145">
        <f t="shared" si="64"/>
        <v>148983</v>
      </c>
      <c r="H136" s="13">
        <f t="shared" ca="1" si="64"/>
        <v>149181.25644973706</v>
      </c>
      <c r="I136" s="13">
        <f t="shared" ca="1" si="64"/>
        <v>169109.06929340045</v>
      </c>
      <c r="J136" s="13">
        <f t="shared" ca="1" si="64"/>
        <v>196142.77861479818</v>
      </c>
      <c r="K136" s="13">
        <f t="shared" ca="1" si="64"/>
        <v>228938.15427688084</v>
      </c>
      <c r="L136" s="13">
        <f t="shared" ca="1" si="64"/>
        <v>269180.19663830858</v>
      </c>
    </row>
    <row r="137" spans="2:14" x14ac:dyDescent="0.2">
      <c r="C137" s="145"/>
      <c r="D137" s="145"/>
      <c r="E137" s="145"/>
      <c r="F137" s="145"/>
      <c r="G137" s="145"/>
      <c r="H137" s="13"/>
      <c r="I137" s="13"/>
      <c r="J137" s="13"/>
      <c r="K137" s="13"/>
      <c r="L137" s="13"/>
    </row>
    <row r="138" spans="2:14" x14ac:dyDescent="0.2">
      <c r="B138" s="213" t="s">
        <v>136</v>
      </c>
      <c r="C138" s="13"/>
      <c r="D138" s="220"/>
      <c r="E138" s="220"/>
      <c r="F138" s="220"/>
      <c r="G138" s="220"/>
      <c r="H138" s="220"/>
      <c r="I138" s="220"/>
      <c r="J138" s="220"/>
      <c r="K138" s="220"/>
      <c r="L138" s="220"/>
    </row>
    <row r="139" spans="2:14" x14ac:dyDescent="0.2">
      <c r="B139" s="214" t="s">
        <v>133</v>
      </c>
      <c r="C139" s="145">
        <v>2796</v>
      </c>
      <c r="D139" s="145">
        <v>2121</v>
      </c>
      <c r="E139" s="145">
        <v>1226</v>
      </c>
      <c r="F139" s="145">
        <v>851</v>
      </c>
      <c r="G139" s="145">
        <v>1088</v>
      </c>
      <c r="H139" s="13">
        <f ca="1">H140*H124</f>
        <v>1096.5146707898014</v>
      </c>
      <c r="I139" s="13">
        <f ca="1">I140*I124</f>
        <v>1118.2458084826242</v>
      </c>
      <c r="J139" s="13">
        <f ca="1">J140*J124</f>
        <v>1196.7917220415325</v>
      </c>
      <c r="K139" s="13">
        <f ca="1">K140*K124</f>
        <v>1329.3269236631029</v>
      </c>
      <c r="L139" s="13">
        <f ca="1">L140*L124</f>
        <v>1518.4796877331137</v>
      </c>
      <c r="N139" t="s">
        <v>0</v>
      </c>
    </row>
    <row r="140" spans="2:14" s="69" customFormat="1" x14ac:dyDescent="0.2">
      <c r="B140" s="215" t="s">
        <v>106</v>
      </c>
      <c r="C140" s="91">
        <f>C139/C$124</f>
        <v>1.328064773081894E-3</v>
      </c>
      <c r="D140" s="91">
        <f>D139/D$124</f>
        <v>5.8591483930850452E-4</v>
      </c>
      <c r="E140" s="91">
        <f>E139/E$124</f>
        <v>4.5939419919272521E-4</v>
      </c>
      <c r="F140" s="91">
        <f>F139/F$124</f>
        <v>3.3046567312090851E-4</v>
      </c>
      <c r="G140" s="91">
        <f>G139/G$124</f>
        <v>5.9577166393878442E-4</v>
      </c>
      <c r="H140" s="182">
        <v>5.9999999999999995E-4</v>
      </c>
      <c r="I140" s="182">
        <v>5.9999999999999995E-4</v>
      </c>
      <c r="J140" s="182">
        <v>5.9999999999999995E-4</v>
      </c>
      <c r="K140" s="182">
        <v>5.9999999999999995E-4</v>
      </c>
      <c r="L140" s="182">
        <v>5.9999999999999995E-4</v>
      </c>
    </row>
    <row r="141" spans="2:14" x14ac:dyDescent="0.2">
      <c r="B141" s="214" t="s">
        <v>130</v>
      </c>
      <c r="C141" s="145">
        <v>20558</v>
      </c>
      <c r="D141" s="260">
        <v>23037</v>
      </c>
      <c r="E141" s="260">
        <v>18574</v>
      </c>
      <c r="F141" s="260">
        <v>16269</v>
      </c>
      <c r="G141" s="260">
        <v>11319</v>
      </c>
      <c r="H141" s="13">
        <f>G141+((H116-G116)*H142)+H20</f>
        <v>18227.797927129493</v>
      </c>
      <c r="I141" s="13">
        <f>H141+((I116-H116)*I142)+I20</f>
        <v>26748.961893622782</v>
      </c>
      <c r="J141" s="13">
        <f>I141+((J116-I116)*J142)+J20</f>
        <v>37280.949669805952</v>
      </c>
      <c r="K141" s="13">
        <f>J141+((K116-J116)*K142)+K20</f>
        <v>50194.356788750636</v>
      </c>
      <c r="L141" s="13">
        <f>K141+((L116-K116)*L142)+L20</f>
        <v>65903.060528747141</v>
      </c>
      <c r="M141" s="131"/>
    </row>
    <row r="142" spans="2:14" s="69" customFormat="1" x14ac:dyDescent="0.2">
      <c r="B142" s="215" t="s">
        <v>137</v>
      </c>
      <c r="C142" s="91">
        <f>C141/(C141+C130)</f>
        <v>0.80060752395046342</v>
      </c>
      <c r="D142" s="91">
        <f>D141/(D141+D130)</f>
        <v>0.75112487773068148</v>
      </c>
      <c r="E142" s="91">
        <f>E141/(E141+E130)</f>
        <v>0.73732682307173192</v>
      </c>
      <c r="F142" s="91">
        <f>F141/(F141+F130)</f>
        <v>0.7009176683469045</v>
      </c>
      <c r="G142" s="91">
        <f>G141/(G141+G130)</f>
        <v>0.66688269604666239</v>
      </c>
      <c r="H142" s="182">
        <f>G142-0.02</f>
        <v>0.64688269604666238</v>
      </c>
      <c r="I142" s="182">
        <f t="shared" ref="I142:L142" si="65">H142-0.02</f>
        <v>0.62688269604666236</v>
      </c>
      <c r="J142" s="182">
        <f t="shared" si="65"/>
        <v>0.60688269604666234</v>
      </c>
      <c r="K142" s="182">
        <f t="shared" si="65"/>
        <v>0.58688269604666232</v>
      </c>
      <c r="L142" s="182">
        <f t="shared" si="65"/>
        <v>0.5668826960466623</v>
      </c>
    </row>
    <row r="143" spans="2:14" x14ac:dyDescent="0.2">
      <c r="B143" s="214" t="s">
        <v>138</v>
      </c>
      <c r="C143" s="145">
        <v>29770</v>
      </c>
      <c r="D143" s="145">
        <v>29841</v>
      </c>
      <c r="E143" s="145">
        <v>0</v>
      </c>
      <c r="F143" s="145">
        <v>0</v>
      </c>
      <c r="G143" s="145">
        <v>0</v>
      </c>
      <c r="H143" s="13">
        <v>0</v>
      </c>
      <c r="I143" s="13">
        <v>0</v>
      </c>
      <c r="J143" s="13">
        <v>0</v>
      </c>
      <c r="K143" s="13">
        <v>0</v>
      </c>
      <c r="L143" s="13">
        <v>0</v>
      </c>
    </row>
    <row r="144" spans="2:14" x14ac:dyDescent="0.2">
      <c r="B144" s="214" t="s">
        <v>139</v>
      </c>
      <c r="C144" s="145">
        <f>3154</f>
        <v>3154</v>
      </c>
      <c r="D144" s="145">
        <v>1007</v>
      </c>
      <c r="E144" s="145">
        <v>1026</v>
      </c>
      <c r="F144" s="145">
        <v>967</v>
      </c>
      <c r="G144" s="145">
        <v>562</v>
      </c>
      <c r="H144" s="13">
        <f ca="1">H145*H124</f>
        <v>614.90918319489094</v>
      </c>
      <c r="I144" s="13">
        <f ca="1">I145*I124</f>
        <v>654.25637314003245</v>
      </c>
      <c r="J144" s="13">
        <f ca="1">J145*J124</f>
        <v>683.55222399866977</v>
      </c>
      <c r="K144" s="13">
        <f ca="1">K145*K124</f>
        <v>741.07211444148504</v>
      </c>
      <c r="L144" s="13">
        <f ca="1">L145*L124</f>
        <v>863.44251450633442</v>
      </c>
      <c r="N144" t="s">
        <v>0</v>
      </c>
    </row>
    <row r="145" spans="2:14" s="69" customFormat="1" x14ac:dyDescent="0.2">
      <c r="B145" s="215" t="s">
        <v>106</v>
      </c>
      <c r="C145" s="91">
        <f>C144/C$124</f>
        <v>1.4981102626252839E-3</v>
      </c>
      <c r="D145" s="91">
        <f>D144/D$124</f>
        <v>2.7817833247697501E-4</v>
      </c>
      <c r="E145" s="91">
        <f>E144/E$124</f>
        <v>3.8445224173877334E-4</v>
      </c>
      <c r="F145" s="91">
        <f>F144/F$124</f>
        <v>3.7551152280601471E-4</v>
      </c>
      <c r="G145" s="91">
        <f>G144/G$124</f>
        <v>3.0774234846837949E-4</v>
      </c>
      <c r="H145" s="182">
        <f>AVERAGE(D145:G145)</f>
        <v>3.3647111137253562E-4</v>
      </c>
      <c r="I145" s="182">
        <f t="shared" ref="I145:L145" si="66">AVERAGE(E145:H145)</f>
        <v>3.5104430609642578E-4</v>
      </c>
      <c r="J145" s="182">
        <f t="shared" si="66"/>
        <v>3.426923221858389E-4</v>
      </c>
      <c r="K145" s="182">
        <f t="shared" si="66"/>
        <v>3.3448752203079496E-4</v>
      </c>
      <c r="L145" s="182">
        <f t="shared" si="66"/>
        <v>3.4117381542139881E-4</v>
      </c>
    </row>
    <row r="146" spans="2:14" x14ac:dyDescent="0.2">
      <c r="B146" s="214" t="s">
        <v>140</v>
      </c>
      <c r="C146" s="145">
        <v>1356</v>
      </c>
      <c r="D146" s="145">
        <v>6833</v>
      </c>
      <c r="E146" s="145">
        <v>0</v>
      </c>
      <c r="F146" s="145">
        <v>0</v>
      </c>
      <c r="G146" s="145">
        <v>284</v>
      </c>
      <c r="H146" s="13">
        <f>'Depreciation Schedules '!H41</f>
        <v>829.3231158035635</v>
      </c>
      <c r="I146" s="13">
        <f>'Depreciation Schedules '!I41</f>
        <v>600.9097116217514</v>
      </c>
      <c r="J146" s="13">
        <f>'Depreciation Schedules '!J41</f>
        <v>451.86583603918115</v>
      </c>
      <c r="K146" s="13">
        <f>'Depreciation Schedules '!K41</f>
        <v>357.39559091656923</v>
      </c>
      <c r="L146" s="13">
        <f>'Depreciation Schedules '!L41</f>
        <v>298.87034612350561</v>
      </c>
      <c r="N146" t="s">
        <v>0</v>
      </c>
    </row>
    <row r="147" spans="2:14" x14ac:dyDescent="0.2">
      <c r="B147" s="215" t="s">
        <v>106</v>
      </c>
      <c r="C147" s="179">
        <f>C146/C124</f>
        <v>6.4408291570066105E-4</v>
      </c>
      <c r="D147" s="179">
        <f t="shared" ref="D147:G147" si="67">D146/D124</f>
        <v>1.8875794893894442E-3</v>
      </c>
      <c r="E147" s="179">
        <f t="shared" si="67"/>
        <v>0</v>
      </c>
      <c r="F147" s="179">
        <f t="shared" si="67"/>
        <v>0</v>
      </c>
      <c r="G147" s="179">
        <f t="shared" si="67"/>
        <v>1.5551392698402096E-4</v>
      </c>
      <c r="H147" s="180">
        <f ca="1">H146/H124</f>
        <v>4.5379590691999532E-4</v>
      </c>
      <c r="I147" s="180">
        <f ca="1">I146/I124</f>
        <v>3.2242090624268421E-4</v>
      </c>
      <c r="J147" s="180">
        <f ca="1">J146/J124</f>
        <v>2.2653858364011975E-4</v>
      </c>
      <c r="K147" s="180">
        <f ca="1">K146/K124</f>
        <v>1.6131272957222321E-4</v>
      </c>
      <c r="L147" s="180">
        <f ca="1">L146/L124</f>
        <v>1.1809325414277181E-4</v>
      </c>
    </row>
    <row r="148" spans="2:14" x14ac:dyDescent="0.2">
      <c r="B148" s="223" t="s">
        <v>141</v>
      </c>
      <c r="C148" s="193">
        <f t="shared" ref="C148:G148" si="68">SUM(C146,C144,C143,C141,C139,C136)</f>
        <v>171036</v>
      </c>
      <c r="D148" s="193">
        <f t="shared" si="68"/>
        <v>220691</v>
      </c>
      <c r="E148" s="193">
        <f t="shared" si="68"/>
        <v>171283</v>
      </c>
      <c r="F148" s="193">
        <f t="shared" si="68"/>
        <v>162753</v>
      </c>
      <c r="G148" s="193">
        <f t="shared" si="68"/>
        <v>162236</v>
      </c>
      <c r="H148" s="193">
        <f ca="1">SUM(H146,H144,H143,H141,H139,H136)</f>
        <v>169949.8013466548</v>
      </c>
      <c r="I148" s="193">
        <f ca="1">SUM(I146,I144,I143,I141,I139,I136)</f>
        <v>198231.44308026764</v>
      </c>
      <c r="J148" s="193">
        <f ca="1">SUM(J146,J144,J143,J141,J139,J136)</f>
        <v>235755.93806668353</v>
      </c>
      <c r="K148" s="193">
        <f ca="1">SUM(K146,K144,K143,K141,K139,K136)</f>
        <v>281560.3056946526</v>
      </c>
      <c r="L148" s="193">
        <f ca="1">SUM(L146,L144,L143,L141,L139,L136)</f>
        <v>337764.04971541866</v>
      </c>
    </row>
    <row r="149" spans="2:14" x14ac:dyDescent="0.2">
      <c r="C149" s="145"/>
      <c r="D149" s="145"/>
      <c r="E149" s="145"/>
      <c r="F149" s="145"/>
      <c r="G149" s="145"/>
      <c r="H149" s="13"/>
      <c r="I149" s="13"/>
      <c r="J149" s="13"/>
      <c r="K149" s="13"/>
      <c r="L149" s="13"/>
    </row>
    <row r="150" spans="2:14" x14ac:dyDescent="0.2">
      <c r="B150" s="70" t="s">
        <v>142</v>
      </c>
      <c r="C150" s="145"/>
      <c r="D150" s="145"/>
      <c r="E150" s="145"/>
      <c r="F150" s="145"/>
      <c r="G150" s="145"/>
      <c r="H150" s="13"/>
      <c r="I150" s="13"/>
      <c r="J150" s="13"/>
      <c r="K150" s="13"/>
      <c r="L150" s="13"/>
    </row>
    <row r="151" spans="2:14" x14ac:dyDescent="0.2">
      <c r="B151" s="214" t="s">
        <v>143</v>
      </c>
      <c r="C151" s="145">
        <v>2526448</v>
      </c>
      <c r="D151" s="224">
        <v>4199025</v>
      </c>
      <c r="E151" s="224">
        <v>4298683</v>
      </c>
      <c r="F151" s="224">
        <v>4362691</v>
      </c>
      <c r="G151" s="224">
        <v>4157395</v>
      </c>
      <c r="H151" s="225">
        <f>G151+H173+H202+H205+H203</f>
        <v>4227773.3427052461</v>
      </c>
      <c r="I151" s="225">
        <f>H151+I173+I202+I205+I203</f>
        <v>4275022.0651867734</v>
      </c>
      <c r="J151" s="225">
        <f>I151+J173+J202+J205+J203</f>
        <v>4345259.7928535128</v>
      </c>
      <c r="K151" s="225">
        <f>J151+K173+K202+K205+K203</f>
        <v>4442050.4999985714</v>
      </c>
      <c r="L151" s="225">
        <f>K151+L173+L202+L205+L203</f>
        <v>4569106.1604775507</v>
      </c>
    </row>
    <row r="152" spans="2:14" x14ac:dyDescent="0.2">
      <c r="B152" s="214" t="s">
        <v>144</v>
      </c>
      <c r="C152" s="145">
        <v>35877</v>
      </c>
      <c r="D152" s="145">
        <v>123777</v>
      </c>
      <c r="E152" s="145">
        <v>198022</v>
      </c>
      <c r="F152" s="145">
        <v>213918</v>
      </c>
      <c r="G152" s="145">
        <v>200634</v>
      </c>
      <c r="H152" s="13">
        <f>G152</f>
        <v>200634</v>
      </c>
      <c r="I152" s="13">
        <f t="shared" ref="I152:L152" si="69">H152</f>
        <v>200634</v>
      </c>
      <c r="J152" s="13">
        <f t="shared" si="69"/>
        <v>200634</v>
      </c>
      <c r="K152" s="13">
        <f t="shared" si="69"/>
        <v>200634</v>
      </c>
      <c r="L152" s="13">
        <f t="shared" si="69"/>
        <v>200634</v>
      </c>
    </row>
    <row r="153" spans="2:14" x14ac:dyDescent="0.2">
      <c r="B153" s="214" t="s">
        <v>145</v>
      </c>
      <c r="C153" s="145">
        <v>9715</v>
      </c>
      <c r="D153" s="145">
        <v>2677</v>
      </c>
      <c r="E153" s="145">
        <v>-3057</v>
      </c>
      <c r="F153" s="145">
        <v>-4045</v>
      </c>
      <c r="G153" s="145">
        <v>-7462</v>
      </c>
      <c r="H153" s="13">
        <f>G153</f>
        <v>-7462</v>
      </c>
      <c r="I153" s="13">
        <f t="shared" ref="I153:L153" si="70">H153</f>
        <v>-7462</v>
      </c>
      <c r="J153" s="13">
        <f t="shared" si="70"/>
        <v>-7462</v>
      </c>
      <c r="K153" s="13">
        <f t="shared" si="70"/>
        <v>-7462</v>
      </c>
      <c r="L153" s="13">
        <f t="shared" si="70"/>
        <v>-7462</v>
      </c>
    </row>
    <row r="154" spans="2:14" x14ac:dyDescent="0.2">
      <c r="B154" s="226" t="s">
        <v>146</v>
      </c>
      <c r="C154" s="183">
        <v>-637757</v>
      </c>
      <c r="D154" s="227">
        <v>-926190</v>
      </c>
      <c r="E154" s="227">
        <v>-1996199</v>
      </c>
      <c r="F154" s="227">
        <v>-2160163</v>
      </c>
      <c r="G154" s="227">
        <v>-2686600</v>
      </c>
      <c r="H154" s="228">
        <f>G154+H58</f>
        <v>-2763370.6927355649</v>
      </c>
      <c r="I154" s="228">
        <f>H154+I58</f>
        <v>-2802682.4941293332</v>
      </c>
      <c r="J154" s="228">
        <f>I154+J58</f>
        <v>-2779534.8608509749</v>
      </c>
      <c r="K154" s="228">
        <f>J154+K58</f>
        <v>-2701237.9329213845</v>
      </c>
      <c r="L154" s="228">
        <f>K154+L58</f>
        <v>-2569242.7306377785</v>
      </c>
    </row>
    <row r="155" spans="2:14" x14ac:dyDescent="0.2">
      <c r="B155" s="213" t="s">
        <v>147</v>
      </c>
      <c r="C155" s="145">
        <f>SUM(C154,C153,C152,C151)</f>
        <v>1934283</v>
      </c>
      <c r="D155" s="145">
        <f>SUM(D154,D153,D152,D151)</f>
        <v>3399289</v>
      </c>
      <c r="E155" s="145">
        <f t="shared" ref="E155:L155" si="71">SUM(E154,E153,E152,E151)</f>
        <v>2497449</v>
      </c>
      <c r="F155" s="145">
        <f t="shared" si="71"/>
        <v>2412401</v>
      </c>
      <c r="G155" s="145">
        <f t="shared" si="71"/>
        <v>1663967</v>
      </c>
      <c r="H155" s="145">
        <f t="shared" si="71"/>
        <v>1657574.6499696812</v>
      </c>
      <c r="I155" s="145">
        <f t="shared" si="71"/>
        <v>1665511.5710574402</v>
      </c>
      <c r="J155" s="145">
        <f t="shared" si="71"/>
        <v>1758896.9320025379</v>
      </c>
      <c r="K155" s="145">
        <f t="shared" si="71"/>
        <v>1933984.5670771869</v>
      </c>
      <c r="L155" s="145">
        <f t="shared" si="71"/>
        <v>2193035.4298397722</v>
      </c>
    </row>
    <row r="156" spans="2:14" x14ac:dyDescent="0.2">
      <c r="B156" s="82"/>
      <c r="C156" s="183"/>
      <c r="D156" s="183"/>
      <c r="E156" s="183"/>
      <c r="F156" s="183"/>
      <c r="G156" s="183"/>
      <c r="H156" s="25"/>
      <c r="I156" s="25"/>
      <c r="J156" s="25"/>
      <c r="K156" s="25"/>
      <c r="L156" s="25"/>
    </row>
    <row r="157" spans="2:14" x14ac:dyDescent="0.2">
      <c r="B157" s="223" t="s">
        <v>148</v>
      </c>
      <c r="C157" s="229">
        <f>SUM(C155,C148)</f>
        <v>2105319</v>
      </c>
      <c r="D157" s="229">
        <f t="shared" ref="D157:G157" si="72">SUM(D155,D148)</f>
        <v>3619980</v>
      </c>
      <c r="E157" s="229">
        <f t="shared" si="72"/>
        <v>2668732</v>
      </c>
      <c r="F157" s="229">
        <f t="shared" si="72"/>
        <v>2575154</v>
      </c>
      <c r="G157" s="229">
        <f t="shared" si="72"/>
        <v>1826203</v>
      </c>
      <c r="H157" s="230">
        <f ca="1">SUM(H155,H148)</f>
        <v>1827524.4513163359</v>
      </c>
      <c r="I157" s="230">
        <f ca="1">SUM(I155,I148)</f>
        <v>1863743.0141377079</v>
      </c>
      <c r="J157" s="230">
        <f ca="1">SUM(J155,J148)</f>
        <v>1994652.8700692214</v>
      </c>
      <c r="K157" s="230">
        <f ca="1">SUM(K155,K148)</f>
        <v>2215544.8727718396</v>
      </c>
      <c r="L157" s="230">
        <f ca="1">SUM(L155,L148)</f>
        <v>2530799.479555191</v>
      </c>
    </row>
    <row r="159" spans="2:14" x14ac:dyDescent="0.2">
      <c r="B159" s="231" t="s">
        <v>149</v>
      </c>
      <c r="C159" s="231" t="str">
        <f t="shared" ref="C159:G159" si="73">IF(C124=C157,"YES","NO")</f>
        <v>YES</v>
      </c>
      <c r="D159" s="231" t="str">
        <f t="shared" si="73"/>
        <v>YES</v>
      </c>
      <c r="E159" s="231" t="str">
        <f t="shared" si="73"/>
        <v>YES</v>
      </c>
      <c r="F159" s="231" t="str">
        <f t="shared" si="73"/>
        <v>YES</v>
      </c>
      <c r="G159" s="231" t="str">
        <f t="shared" si="73"/>
        <v>YES</v>
      </c>
      <c r="H159" s="231" t="str">
        <f ca="1">IF(H124=H157,"YES","NO")</f>
        <v>YES</v>
      </c>
      <c r="I159" s="231" t="str">
        <f ca="1">IF(I124=I157,"YES","NO")</f>
        <v>YES</v>
      </c>
      <c r="J159" s="231" t="str">
        <f ca="1">IF(J124=J157,"YES","NO")</f>
        <v>YES</v>
      </c>
      <c r="K159" s="231" t="str">
        <f ca="1">IF(K124=K157,"YES","NO")</f>
        <v>YES</v>
      </c>
      <c r="L159" s="231" t="str">
        <f ca="1">IF(L124=L157,"YES","NO")</f>
        <v>YES</v>
      </c>
    </row>
    <row r="160" spans="2:14" x14ac:dyDescent="0.2">
      <c r="B160" s="231" t="s">
        <v>150</v>
      </c>
      <c r="C160" s="232">
        <f t="shared" ref="C160:G160" si="74">C124-C157</f>
        <v>0</v>
      </c>
      <c r="D160" s="232">
        <f t="shared" si="74"/>
        <v>0</v>
      </c>
      <c r="E160" s="232">
        <f t="shared" si="74"/>
        <v>0</v>
      </c>
      <c r="F160" s="232">
        <f t="shared" si="74"/>
        <v>0</v>
      </c>
      <c r="G160" s="232">
        <f t="shared" si="74"/>
        <v>0</v>
      </c>
      <c r="H160" s="233">
        <f ca="1">H124-H157</f>
        <v>0</v>
      </c>
      <c r="I160" s="232">
        <f ca="1">I124-I157</f>
        <v>0</v>
      </c>
      <c r="J160" s="232">
        <f ca="1">J124-J157</f>
        <v>0</v>
      </c>
      <c r="K160" s="232">
        <f ca="1">K124-K157</f>
        <v>0</v>
      </c>
      <c r="L160" s="261">
        <f ca="1">L124-L157</f>
        <v>0</v>
      </c>
    </row>
    <row r="163" spans="1:13" ht="19" x14ac:dyDescent="0.25">
      <c r="A163" s="84" t="s">
        <v>0</v>
      </c>
      <c r="B163" s="234" t="s">
        <v>151</v>
      </c>
      <c r="C163" s="7"/>
      <c r="D163" s="7"/>
      <c r="E163" s="7"/>
      <c r="F163" s="7"/>
      <c r="G163" s="7"/>
      <c r="H163" s="8"/>
      <c r="I163" s="8"/>
      <c r="J163" s="8"/>
      <c r="K163" s="8"/>
      <c r="L163" s="8"/>
    </row>
    <row r="164" spans="1:13" x14ac:dyDescent="0.2">
      <c r="A164" s="87"/>
      <c r="B164" s="87" t="s">
        <v>102</v>
      </c>
      <c r="C164" s="310" t="s">
        <v>3</v>
      </c>
      <c r="D164" s="310"/>
      <c r="E164" s="310"/>
      <c r="F164" s="310"/>
      <c r="G164" s="310"/>
      <c r="H164" s="311" t="s">
        <v>4</v>
      </c>
      <c r="I164" s="311"/>
      <c r="J164" s="311"/>
      <c r="K164" s="311"/>
      <c r="L164" s="311"/>
    </row>
    <row r="165" spans="1:13" x14ac:dyDescent="0.2">
      <c r="A165" s="87"/>
      <c r="B165" s="88" t="s">
        <v>6</v>
      </c>
      <c r="C165" s="10" t="s">
        <v>7</v>
      </c>
      <c r="D165" s="10" t="s">
        <v>8</v>
      </c>
      <c r="E165" s="10" t="s">
        <v>9</v>
      </c>
      <c r="F165" s="10" t="s">
        <v>10</v>
      </c>
      <c r="G165" s="10" t="s">
        <v>11</v>
      </c>
      <c r="H165" s="74" t="s">
        <v>12</v>
      </c>
      <c r="I165" s="74" t="s">
        <v>13</v>
      </c>
      <c r="J165" s="74" t="s">
        <v>14</v>
      </c>
      <c r="K165" s="74" t="s">
        <v>15</v>
      </c>
      <c r="L165" s="74" t="s">
        <v>16</v>
      </c>
    </row>
    <row r="166" spans="1:13" x14ac:dyDescent="0.2">
      <c r="B166" s="235" t="s">
        <v>152</v>
      </c>
    </row>
    <row r="167" spans="1:13" x14ac:dyDescent="0.2">
      <c r="B167" s="236" t="s">
        <v>153</v>
      </c>
      <c r="C167" s="145">
        <f t="shared" ref="C167:L167" si="75">C49</f>
        <v>-124278</v>
      </c>
      <c r="D167" s="145">
        <f t="shared" si="75"/>
        <v>-288433</v>
      </c>
      <c r="E167" s="145">
        <f t="shared" si="75"/>
        <v>-1070009</v>
      </c>
      <c r="F167" s="145">
        <f t="shared" si="75"/>
        <v>-163964</v>
      </c>
      <c r="G167" s="145">
        <f t="shared" si="75"/>
        <v>-667196</v>
      </c>
      <c r="H167" s="13">
        <f t="shared" si="75"/>
        <v>-76770.692735564822</v>
      </c>
      <c r="I167" s="13">
        <f t="shared" si="75"/>
        <v>-39311.801393768401</v>
      </c>
      <c r="J167" s="13">
        <f t="shared" si="75"/>
        <v>23147.633278358408</v>
      </c>
      <c r="K167" s="13">
        <f t="shared" si="75"/>
        <v>78296.927929590223</v>
      </c>
      <c r="L167" s="13">
        <f t="shared" si="75"/>
        <v>131995.2022836057</v>
      </c>
    </row>
    <row r="168" spans="1:13" x14ac:dyDescent="0.2">
      <c r="B168" s="237" t="s">
        <v>154</v>
      </c>
      <c r="C168" s="145"/>
      <c r="D168" s="145"/>
      <c r="E168" s="145"/>
      <c r="F168" s="145"/>
      <c r="G168" s="145"/>
      <c r="H168" s="13"/>
      <c r="I168" s="13"/>
      <c r="J168" s="13"/>
      <c r="K168" s="13"/>
      <c r="L168" s="13"/>
    </row>
    <row r="169" spans="1:13" x14ac:dyDescent="0.2">
      <c r="B169" s="237" t="s">
        <v>155</v>
      </c>
      <c r="C169" s="145">
        <v>4518</v>
      </c>
      <c r="D169" s="145">
        <v>45042</v>
      </c>
      <c r="E169" s="145">
        <v>40219</v>
      </c>
      <c r="F169" s="145">
        <v>2953</v>
      </c>
      <c r="G169" s="145">
        <v>0</v>
      </c>
      <c r="H169" s="13">
        <v>0</v>
      </c>
      <c r="I169" s="13">
        <v>0</v>
      </c>
      <c r="J169" s="13">
        <v>0</v>
      </c>
      <c r="K169" s="13">
        <v>0</v>
      </c>
      <c r="L169" s="13">
        <v>0</v>
      </c>
      <c r="M169" s="299" t="s">
        <v>156</v>
      </c>
    </row>
    <row r="170" spans="1:13" x14ac:dyDescent="0.2">
      <c r="A170" s="299" t="s">
        <v>157</v>
      </c>
      <c r="B170" s="237" t="s">
        <v>158</v>
      </c>
      <c r="C170" s="145">
        <v>30128</v>
      </c>
      <c r="D170" s="145">
        <v>91812</v>
      </c>
      <c r="E170" s="145">
        <v>101546</v>
      </c>
      <c r="F170" s="145">
        <v>95048</v>
      </c>
      <c r="G170" s="145">
        <v>88432</v>
      </c>
      <c r="H170" s="13">
        <f>H26</f>
        <v>34179.935211519325</v>
      </c>
      <c r="I170" s="13">
        <f>I26</f>
        <v>36948.085268859009</v>
      </c>
      <c r="J170" s="13">
        <f>J26</f>
        <v>40337.850077319134</v>
      </c>
      <c r="K170" s="13">
        <f>K26</f>
        <v>44445.598269442096</v>
      </c>
      <c r="L170" s="13">
        <f>L26</f>
        <v>49371.700334765235</v>
      </c>
    </row>
    <row r="171" spans="1:13" x14ac:dyDescent="0.2">
      <c r="A171" s="299" t="s">
        <v>157</v>
      </c>
      <c r="B171" s="237" t="s">
        <v>159</v>
      </c>
      <c r="C171" s="145">
        <v>6355</v>
      </c>
      <c r="D171" s="145">
        <v>12736</v>
      </c>
      <c r="E171" s="145">
        <v>13715</v>
      </c>
      <c r="F171" s="145">
        <v>14580</v>
      </c>
      <c r="G171" s="145">
        <v>12559</v>
      </c>
      <c r="H171" s="13">
        <f>H18+H20</f>
        <v>9408.2598484962855</v>
      </c>
      <c r="I171" s="13">
        <f>I18+I20</f>
        <v>11698.686622865327</v>
      </c>
      <c r="J171" s="13">
        <f>J18+J20</f>
        <v>14503.45078495435</v>
      </c>
      <c r="K171" s="13">
        <f>K18+K20</f>
        <v>17902.289809832379</v>
      </c>
      <c r="L171" s="13">
        <f>L18+L20</f>
        <v>21978.252394943862</v>
      </c>
    </row>
    <row r="172" spans="1:13" x14ac:dyDescent="0.2">
      <c r="A172" s="299" t="s">
        <v>157</v>
      </c>
      <c r="B172" s="237" t="s">
        <v>160</v>
      </c>
      <c r="C172" s="145">
        <v>-5958</v>
      </c>
      <c r="D172" s="145">
        <v>-28024</v>
      </c>
      <c r="E172" s="145">
        <v>-6688</v>
      </c>
      <c r="F172" s="145">
        <v>-323</v>
      </c>
      <c r="G172" s="145">
        <v>191</v>
      </c>
      <c r="H172" s="13">
        <f>(H146-G146)-(H123-G123)</f>
        <v>545.3231158035635</v>
      </c>
      <c r="I172" s="13">
        <f t="shared" ref="I172:L172" si="76">(I146-H146)-(I123-H123)</f>
        <v>-228.4134041818121</v>
      </c>
      <c r="J172" s="13">
        <f t="shared" si="76"/>
        <v>-149.04387558257025</v>
      </c>
      <c r="K172" s="13">
        <f t="shared" si="76"/>
        <v>-94.470245122611914</v>
      </c>
      <c r="L172" s="13">
        <f t="shared" si="76"/>
        <v>-58.525244793063621</v>
      </c>
    </row>
    <row r="173" spans="1:13" x14ac:dyDescent="0.2">
      <c r="A173" s="299" t="s">
        <v>157</v>
      </c>
      <c r="B173" s="237" t="s">
        <v>161</v>
      </c>
      <c r="C173" s="145">
        <f>32739+1120</f>
        <v>33859</v>
      </c>
      <c r="D173" s="145">
        <v>108916</v>
      </c>
      <c r="E173" s="145">
        <v>129167</v>
      </c>
      <c r="F173" s="145">
        <v>74913</v>
      </c>
      <c r="G173" s="145">
        <v>55605</v>
      </c>
      <c r="H173" s="13">
        <f>H174*H4</f>
        <v>70378.342705245901</v>
      </c>
      <c r="I173" s="13">
        <f>I174*I4</f>
        <v>85764.822137489042</v>
      </c>
      <c r="J173" s="13">
        <f>J174*J4</f>
        <v>105024.13881597864</v>
      </c>
      <c r="K173" s="13">
        <f>K174*K4</f>
        <v>127269.21799232041</v>
      </c>
      <c r="L173" s="13">
        <f>L174*L4</f>
        <v>152624.04808704086</v>
      </c>
      <c r="M173" s="299" t="s">
        <v>162</v>
      </c>
    </row>
    <row r="174" spans="1:13" s="69" customFormat="1" x14ac:dyDescent="0.2">
      <c r="B174" s="215" t="s">
        <v>163</v>
      </c>
      <c r="C174" s="15">
        <f>C173/C4</f>
        <v>0.15270511617838073</v>
      </c>
      <c r="D174" s="15">
        <f>D173/D4</f>
        <v>0.19861699722086468</v>
      </c>
      <c r="E174" s="15">
        <f>E173/E4</f>
        <v>0.17681853400245856</v>
      </c>
      <c r="F174" s="15">
        <f>F173/F4</f>
        <v>8.2388069550298593E-2</v>
      </c>
      <c r="G174" s="15">
        <f>G173/G4</f>
        <v>5.1637869070769095E-2</v>
      </c>
      <c r="H174" s="149">
        <f>G174</f>
        <v>5.1637869070769095E-2</v>
      </c>
      <c r="I174" s="149">
        <f t="shared" ref="I174:L174" si="77">H174</f>
        <v>5.1637869070769095E-2</v>
      </c>
      <c r="J174" s="149">
        <f t="shared" si="77"/>
        <v>5.1637869070769095E-2</v>
      </c>
      <c r="K174" s="149">
        <f t="shared" si="77"/>
        <v>5.1637869070769095E-2</v>
      </c>
      <c r="L174" s="149">
        <f t="shared" si="77"/>
        <v>5.1637869070769095E-2</v>
      </c>
      <c r="M174" s="299" t="s">
        <v>164</v>
      </c>
    </row>
    <row r="175" spans="1:13" x14ac:dyDescent="0.2">
      <c r="B175" s="237" t="s">
        <v>165</v>
      </c>
      <c r="C175" s="145">
        <v>320</v>
      </c>
      <c r="D175" s="145">
        <v>5</v>
      </c>
      <c r="E175" s="145">
        <v>100</v>
      </c>
      <c r="F175" s="145">
        <v>-116</v>
      </c>
      <c r="G175" s="145">
        <v>-290</v>
      </c>
      <c r="H175" s="13">
        <v>0</v>
      </c>
      <c r="I175" s="13">
        <v>0</v>
      </c>
      <c r="J175" s="13">
        <v>0</v>
      </c>
      <c r="K175" s="13">
        <v>0</v>
      </c>
      <c r="L175" s="13">
        <v>0</v>
      </c>
      <c r="M175" s="299" t="s">
        <v>166</v>
      </c>
    </row>
    <row r="176" spans="1:13" x14ac:dyDescent="0.2">
      <c r="B176" s="237" t="s">
        <v>167</v>
      </c>
      <c r="C176" s="145">
        <v>0</v>
      </c>
      <c r="D176" s="145">
        <v>0</v>
      </c>
      <c r="E176" s="145">
        <v>748712</v>
      </c>
      <c r="F176" s="145">
        <v>0</v>
      </c>
      <c r="G176" s="145">
        <v>556440</v>
      </c>
      <c r="H176" s="13">
        <v>0</v>
      </c>
      <c r="I176" s="13">
        <v>0</v>
      </c>
      <c r="J176" s="13">
        <v>0</v>
      </c>
      <c r="K176" s="13">
        <v>0</v>
      </c>
      <c r="L176" s="13">
        <v>0</v>
      </c>
      <c r="M176" s="299" t="s">
        <v>168</v>
      </c>
    </row>
    <row r="177" spans="2:12" x14ac:dyDescent="0.2">
      <c r="B177" s="238"/>
      <c r="C177" s="239">
        <f>C167+SUM(C169:C176)</f>
        <v>-55055.847294883817</v>
      </c>
      <c r="D177" s="239">
        <f>D167+SUM(D169:D176)</f>
        <v>-57945.801383002778</v>
      </c>
      <c r="E177" s="239">
        <f>E167+SUM(E169:E176)</f>
        <v>-43237.823181465967</v>
      </c>
      <c r="F177" s="239">
        <f>F167+SUM(F169:F176)</f>
        <v>23091.082388069539</v>
      </c>
      <c r="G177" s="239">
        <f>G167+SUM(G169:G176)</f>
        <v>45741.051637869095</v>
      </c>
      <c r="H177" s="239">
        <f>H167+SUM(H169:H176)-H174</f>
        <v>37741.168145500247</v>
      </c>
      <c r="I177" s="239">
        <f>I167+SUM(I169:I176)-I174</f>
        <v>94871.379231263156</v>
      </c>
      <c r="J177" s="239">
        <f>J167+SUM(J169:J176)-J174</f>
        <v>182864.02908102798</v>
      </c>
      <c r="K177" s="239">
        <f>K167+SUM(K169:K176)-K174</f>
        <v>267819.56375606247</v>
      </c>
      <c r="L177" s="239">
        <f>L167+SUM(L169:L176)-L174</f>
        <v>355910.67785556254</v>
      </c>
    </row>
    <row r="178" spans="2:12" x14ac:dyDescent="0.2">
      <c r="B178" s="236" t="s">
        <v>169</v>
      </c>
      <c r="C178" s="145"/>
      <c r="D178" s="145"/>
      <c r="E178" s="145"/>
      <c r="F178" s="145"/>
      <c r="G178" s="145"/>
      <c r="H178" s="13"/>
      <c r="I178" s="13"/>
      <c r="J178" s="13"/>
      <c r="K178" s="13"/>
      <c r="L178" s="13"/>
    </row>
    <row r="179" spans="2:12" x14ac:dyDescent="0.2">
      <c r="B179" s="237" t="s">
        <v>170</v>
      </c>
      <c r="C179" s="145">
        <v>-9177</v>
      </c>
      <c r="D179" s="145">
        <v>-5384</v>
      </c>
      <c r="E179" s="145">
        <v>-11967</v>
      </c>
      <c r="F179" s="145">
        <v>-7566</v>
      </c>
      <c r="G179" s="145">
        <v>8913</v>
      </c>
      <c r="H179" s="13">
        <f>-(H105-G105)</f>
        <v>-32496.960396536451</v>
      </c>
      <c r="I179" s="13">
        <f>-(I105-H105)</f>
        <v>-18708.624428559517</v>
      </c>
      <c r="J179" s="13">
        <f>-(J105-I105)</f>
        <v>-23417.658605742879</v>
      </c>
      <c r="K179" s="13">
        <f>-(K105-J105)</f>
        <v>-27048.086830157685</v>
      </c>
      <c r="L179" s="13">
        <f>-(L105-K105)</f>
        <v>-30829.274219678249</v>
      </c>
    </row>
    <row r="180" spans="2:12" x14ac:dyDescent="0.2">
      <c r="B180" s="237" t="s">
        <v>171</v>
      </c>
      <c r="C180" s="145">
        <v>0</v>
      </c>
      <c r="D180" s="145">
        <v>0</v>
      </c>
      <c r="E180" s="145">
        <v>-23192</v>
      </c>
      <c r="F180" s="145">
        <v>-44744</v>
      </c>
      <c r="G180" s="145">
        <v>-31933</v>
      </c>
      <c r="H180" s="13">
        <f>-(H107-G107)</f>
        <v>-28207.373827412142</v>
      </c>
      <c r="I180" s="13">
        <f>-(I107-H107)</f>
        <v>-29378.061952015472</v>
      </c>
      <c r="J180" s="13">
        <f>-(J107-I107)</f>
        <v>-36772.635418371792</v>
      </c>
      <c r="K180" s="13">
        <f>-(K107-J107)</f>
        <v>-42473.479202824004</v>
      </c>
      <c r="L180" s="13">
        <f>-(L107-K107)</f>
        <v>-48411.059371034557</v>
      </c>
    </row>
    <row r="181" spans="2:12" x14ac:dyDescent="0.2">
      <c r="B181" s="237" t="s">
        <v>172</v>
      </c>
      <c r="C181" s="145">
        <v>-256</v>
      </c>
      <c r="D181" s="145">
        <v>-5967</v>
      </c>
      <c r="E181" s="145">
        <v>-5299</v>
      </c>
      <c r="F181" s="145">
        <v>-3653</v>
      </c>
      <c r="G181" s="145">
        <v>1880</v>
      </c>
      <c r="H181" s="13">
        <f>-(H109-G109)</f>
        <v>-3757.5169620298293</v>
      </c>
      <c r="I181" s="13">
        <f>-(I109-H109)</f>
        <v>-6004.6316183364579</v>
      </c>
      <c r="J181" s="13">
        <f>-(J109-I109)</f>
        <v>-5453.802670298599</v>
      </c>
      <c r="K181" s="13">
        <f>-(K109-J109)</f>
        <v>-5190.431953766205</v>
      </c>
      <c r="L181" s="13">
        <f>-(L109-K109)</f>
        <v>-6907.0281895409207</v>
      </c>
    </row>
    <row r="182" spans="2:12" x14ac:dyDescent="0.2">
      <c r="B182" s="237" t="s">
        <v>173</v>
      </c>
      <c r="C182" s="145">
        <v>-11963</v>
      </c>
      <c r="D182" s="145">
        <v>-25008</v>
      </c>
      <c r="E182" s="145">
        <v>-9986</v>
      </c>
      <c r="F182" s="145">
        <v>-15759</v>
      </c>
      <c r="G182" s="145">
        <v>-20903</v>
      </c>
      <c r="H182" s="13">
        <f>-(H111-G111)</f>
        <v>-10464.6553879196</v>
      </c>
      <c r="I182" s="13">
        <f>-(I111-H111)</f>
        <v>-16650.638713961001</v>
      </c>
      <c r="J182" s="13">
        <f>-(J111-I111)</f>
        <v>-20841.669811697997</v>
      </c>
      <c r="K182" s="13">
        <f>-(K111-J111)</f>
        <v>-24072.743746210268</v>
      </c>
      <c r="L182" s="13">
        <f>-(L111-K111)</f>
        <v>-27437.993039289344</v>
      </c>
    </row>
    <row r="183" spans="2:12" x14ac:dyDescent="0.2">
      <c r="B183" s="237" t="s">
        <v>174</v>
      </c>
      <c r="C183" s="145"/>
      <c r="D183" s="145"/>
      <c r="E183" s="145"/>
      <c r="F183" s="145"/>
      <c r="G183" s="145"/>
      <c r="H183" s="13">
        <f>-(H121-G121)</f>
        <v>-325.63380734778912</v>
      </c>
      <c r="I183" s="13">
        <f>-(I121-H121)</f>
        <v>-8939.0672247664625</v>
      </c>
      <c r="J183" s="13">
        <f>-(J121-I121)</f>
        <v>-11189.065520167926</v>
      </c>
      <c r="K183" s="13">
        <f>-(K121-J121)</f>
        <v>-12923.700905931153</v>
      </c>
      <c r="L183" s="13">
        <f>-(L121-K121)</f>
        <v>-14730.369717603156</v>
      </c>
    </row>
    <row r="184" spans="2:12" x14ac:dyDescent="0.2">
      <c r="B184" s="237" t="s">
        <v>175</v>
      </c>
      <c r="C184" s="145">
        <v>-15333</v>
      </c>
      <c r="D184" s="145">
        <v>6842</v>
      </c>
      <c r="E184" s="145">
        <v>-9015</v>
      </c>
      <c r="F184" s="145">
        <v>-194</v>
      </c>
      <c r="G184" s="145">
        <v>-892</v>
      </c>
      <c r="H184" s="13">
        <f>(H128-G128)</f>
        <v>5487.1861500603991</v>
      </c>
      <c r="I184" s="13">
        <f>(I128-H128)</f>
        <v>18261.330459473553</v>
      </c>
      <c r="J184" s="13">
        <f>(J128-I128)</f>
        <v>21720.482791381583</v>
      </c>
      <c r="K184" s="13">
        <f>(K128-J128)</f>
        <v>24095.198958239387</v>
      </c>
      <c r="L184" s="13">
        <f>(L128-K128)</f>
        <v>28017.934900673863</v>
      </c>
    </row>
    <row r="185" spans="2:12" x14ac:dyDescent="0.2">
      <c r="B185" s="237" t="s">
        <v>176</v>
      </c>
      <c r="C185" s="145">
        <v>38</v>
      </c>
      <c r="D185" s="145">
        <v>1077</v>
      </c>
      <c r="E185" s="145">
        <v>201</v>
      </c>
      <c r="F185" s="145">
        <v>-5210</v>
      </c>
      <c r="G185" s="145">
        <v>-169</v>
      </c>
      <c r="H185" s="13">
        <f>(H132-G132)</f>
        <v>98.096623829097553</v>
      </c>
      <c r="I185" s="13">
        <f>(I132-H132)</f>
        <v>358.12920625501783</v>
      </c>
      <c r="J185" s="13">
        <f>(J132-I132)</f>
        <v>448.27173268940396</v>
      </c>
      <c r="K185" s="13">
        <f>(K132-J132)</f>
        <v>517.76708139022776</v>
      </c>
      <c r="L185" s="13">
        <f>(L132-K132)</f>
        <v>590.14833227702729</v>
      </c>
    </row>
    <row r="186" spans="2:12" x14ac:dyDescent="0.2">
      <c r="B186" s="237" t="s">
        <v>177</v>
      </c>
      <c r="C186" s="145">
        <v>-3991</v>
      </c>
      <c r="D186" s="145">
        <v>4552</v>
      </c>
      <c r="E186" s="145">
        <v>2005</v>
      </c>
      <c r="F186" s="145">
        <v>-1133</v>
      </c>
      <c r="G186" s="145">
        <v>1503</v>
      </c>
      <c r="H186" s="13">
        <f ca="1">((H134+H139)-(G134+G139))</f>
        <v>58.236528519031708</v>
      </c>
      <c r="I186" s="13">
        <f ca="1">((I134+I139)-(H134+H139))</f>
        <v>1384.5162857337127</v>
      </c>
      <c r="J186" s="13">
        <f ca="1">((J134+J139)-(I134+I139))</f>
        <v>5004.252333096083</v>
      </c>
      <c r="K186" s="13">
        <f ca="1">((K134+K139)-(J134+J139))</f>
        <v>8443.973236553953</v>
      </c>
      <c r="L186" s="13">
        <f ca="1">((L134+L139)-(K134+K139))</f>
        <v>12051.144585631584</v>
      </c>
    </row>
    <row r="187" spans="2:12" x14ac:dyDescent="0.2">
      <c r="B187" s="237" t="s">
        <v>178</v>
      </c>
      <c r="C187" s="145">
        <v>2321</v>
      </c>
      <c r="D187" s="145">
        <v>-2396</v>
      </c>
      <c r="E187" s="145">
        <v>19</v>
      </c>
      <c r="F187" s="145">
        <v>32</v>
      </c>
      <c r="G187" s="145">
        <v>-404</v>
      </c>
      <c r="H187" s="13">
        <f ca="1">(H144-G144)</f>
        <v>52.909183194890943</v>
      </c>
      <c r="I187" s="13">
        <f ca="1">(I144-H144)</f>
        <v>39.347189945141508</v>
      </c>
      <c r="J187" s="13">
        <f ca="1">(J144-I144)</f>
        <v>29.295850858637323</v>
      </c>
      <c r="K187" s="13">
        <f ca="1">(K144-J144)</f>
        <v>57.519890442815267</v>
      </c>
      <c r="L187" s="13">
        <f ca="1">(L144-K144)</f>
        <v>122.37040006484938</v>
      </c>
    </row>
    <row r="188" spans="2:12" x14ac:dyDescent="0.2">
      <c r="B188" s="300" t="s">
        <v>179</v>
      </c>
      <c r="C188" s="239">
        <f>SUM(C179:C187)</f>
        <v>-38361</v>
      </c>
      <c r="D188" s="239">
        <f t="shared" ref="D188:L188" si="78">SUM(D179:D187)</f>
        <v>-26284</v>
      </c>
      <c r="E188" s="239">
        <f t="shared" si="78"/>
        <v>-57234</v>
      </c>
      <c r="F188" s="239">
        <f t="shared" si="78"/>
        <v>-78227</v>
      </c>
      <c r="G188" s="239">
        <f t="shared" si="78"/>
        <v>-42005</v>
      </c>
      <c r="H188" s="239">
        <f t="shared" ca="1" si="78"/>
        <v>-69555.711895642395</v>
      </c>
      <c r="I188" s="239">
        <f t="shared" ca="1" si="78"/>
        <v>-59637.700796231482</v>
      </c>
      <c r="J188" s="239">
        <f t="shared" ca="1" si="78"/>
        <v>-70472.529318253481</v>
      </c>
      <c r="K188" s="239">
        <f t="shared" ca="1" si="78"/>
        <v>-78593.983472262946</v>
      </c>
      <c r="L188" s="239">
        <f t="shared" ca="1" si="78"/>
        <v>-87534.126318498922</v>
      </c>
    </row>
    <row r="189" spans="2:12" x14ac:dyDescent="0.2">
      <c r="C189" s="145"/>
      <c r="D189" s="145"/>
      <c r="E189" s="145"/>
      <c r="F189" s="145"/>
      <c r="G189" s="145"/>
      <c r="H189" s="13"/>
      <c r="I189" s="13"/>
      <c r="J189" s="13"/>
      <c r="K189" s="13"/>
      <c r="L189" s="13"/>
    </row>
    <row r="190" spans="2:12" x14ac:dyDescent="0.2">
      <c r="B190" s="236"/>
      <c r="C190" s="146"/>
      <c r="D190" s="146"/>
      <c r="E190" s="146"/>
      <c r="F190" s="146"/>
      <c r="G190" s="146"/>
      <c r="H190" s="146"/>
      <c r="I190" s="146"/>
      <c r="J190" s="146"/>
      <c r="K190" s="146"/>
      <c r="L190" s="146"/>
    </row>
    <row r="191" spans="2:12" x14ac:dyDescent="0.2">
      <c r="B191" s="240" t="s">
        <v>180</v>
      </c>
      <c r="C191" s="239">
        <f>C188+C177</f>
        <v>-93416.847294883817</v>
      </c>
      <c r="D191" s="239">
        <f t="shared" ref="D191:L191" si="79">D188+D177</f>
        <v>-84229.801383002778</v>
      </c>
      <c r="E191" s="239">
        <f t="shared" si="79"/>
        <v>-100471.82318146597</v>
      </c>
      <c r="F191" s="239">
        <f t="shared" si="79"/>
        <v>-55135.917611930461</v>
      </c>
      <c r="G191" s="239">
        <f t="shared" si="79"/>
        <v>3736.0516378690954</v>
      </c>
      <c r="H191" s="239">
        <f t="shared" ca="1" si="79"/>
        <v>-31814.543750142147</v>
      </c>
      <c r="I191" s="239">
        <f t="shared" ca="1" si="79"/>
        <v>35233.678435031674</v>
      </c>
      <c r="J191" s="239">
        <f t="shared" ca="1" si="79"/>
        <v>112391.4997627745</v>
      </c>
      <c r="K191" s="239">
        <f t="shared" ca="1" si="79"/>
        <v>189225.58028379953</v>
      </c>
      <c r="L191" s="239">
        <f t="shared" ca="1" si="79"/>
        <v>268376.55153706361</v>
      </c>
    </row>
    <row r="192" spans="2:12" x14ac:dyDescent="0.2">
      <c r="C192" s="145"/>
      <c r="D192" s="145"/>
      <c r="E192" s="145"/>
      <c r="F192" s="145"/>
      <c r="G192" s="145"/>
      <c r="H192" s="13"/>
      <c r="I192" s="13"/>
      <c r="J192" s="13"/>
      <c r="K192" s="13"/>
      <c r="L192" s="13"/>
    </row>
    <row r="193" spans="2:12" x14ac:dyDescent="0.2">
      <c r="B193" s="70" t="s">
        <v>181</v>
      </c>
      <c r="C193" s="145"/>
      <c r="D193" s="145"/>
      <c r="E193" s="145"/>
      <c r="F193" s="145"/>
      <c r="G193" s="145"/>
      <c r="H193" s="13"/>
      <c r="I193" s="13"/>
      <c r="J193" s="13"/>
      <c r="K193" s="13"/>
      <c r="L193" s="13"/>
    </row>
    <row r="194" spans="2:12" x14ac:dyDescent="0.2">
      <c r="B194" s="237" t="s">
        <v>182</v>
      </c>
      <c r="C194" s="145">
        <v>-1794</v>
      </c>
      <c r="D194" s="145">
        <v>-10653</v>
      </c>
      <c r="E194" s="145">
        <v>-9227</v>
      </c>
      <c r="F194" s="145">
        <v>-7506</v>
      </c>
      <c r="G194" s="145">
        <v>-3781</v>
      </c>
      <c r="H194" s="13">
        <f>-(H117-G117+H18)</f>
        <v>-4088.7633807347779</v>
      </c>
      <c r="I194" s="13">
        <f>-(I117-H117+I18)</f>
        <v>-4982.6701032114252</v>
      </c>
      <c r="J194" s="13">
        <f>-(J117-I117+J18)</f>
        <v>-6101.5766552282203</v>
      </c>
      <c r="K194" s="13">
        <f>-(K117-J117+K18)</f>
        <v>-7393.9467458213348</v>
      </c>
      <c r="L194" s="13">
        <f>-(L117-K117+L18)</f>
        <v>-8866.9837175816519</v>
      </c>
    </row>
    <row r="195" spans="2:12" x14ac:dyDescent="0.2">
      <c r="B195" s="237" t="s">
        <v>183</v>
      </c>
      <c r="C195" s="145">
        <v>0</v>
      </c>
      <c r="D195" s="145">
        <v>0</v>
      </c>
      <c r="E195" s="145">
        <v>-3894</v>
      </c>
      <c r="F195" s="145">
        <v>-10678</v>
      </c>
      <c r="G195" s="145">
        <v>-19342</v>
      </c>
      <c r="H195" s="13">
        <f>-(H118-G118+H26)</f>
        <v>-34179.935211519325</v>
      </c>
      <c r="I195" s="13">
        <f>-(I118-H118+I26)</f>
        <v>-36948.085268859009</v>
      </c>
      <c r="J195" s="13">
        <f>-(J118-I118+J26)</f>
        <v>-40337.850077319134</v>
      </c>
      <c r="K195" s="13">
        <f>-(K118-J118+K26)</f>
        <v>-44445.598269442096</v>
      </c>
      <c r="L195" s="13">
        <f>-(L118-K118+L26)</f>
        <v>-49371.700334765235</v>
      </c>
    </row>
    <row r="196" spans="2:12" x14ac:dyDescent="0.2">
      <c r="B196" s="237" t="s">
        <v>184</v>
      </c>
      <c r="C196" s="145">
        <v>-235576</v>
      </c>
      <c r="D196" s="145">
        <v>-559429</v>
      </c>
      <c r="E196" s="145">
        <v>0</v>
      </c>
      <c r="F196" s="145">
        <v>0</v>
      </c>
      <c r="G196" s="145">
        <v>-7513</v>
      </c>
      <c r="H196" s="13">
        <v>0</v>
      </c>
      <c r="I196" s="13">
        <v>0</v>
      </c>
      <c r="J196" s="13">
        <v>0</v>
      </c>
      <c r="K196" s="13">
        <v>0</v>
      </c>
      <c r="L196" s="13">
        <v>0</v>
      </c>
    </row>
    <row r="197" spans="2:12" x14ac:dyDescent="0.2">
      <c r="B197" s="237" t="s">
        <v>185</v>
      </c>
      <c r="C197" s="145">
        <v>0</v>
      </c>
      <c r="D197" s="145">
        <v>344</v>
      </c>
      <c r="E197" s="145">
        <v>-1519</v>
      </c>
      <c r="F197" s="145">
        <v>0</v>
      </c>
      <c r="G197" s="145">
        <v>0</v>
      </c>
      <c r="H197" s="13">
        <v>0</v>
      </c>
      <c r="I197" s="13">
        <v>0</v>
      </c>
      <c r="J197" s="13">
        <v>0</v>
      </c>
      <c r="K197" s="13">
        <v>0</v>
      </c>
      <c r="L197" s="13">
        <v>0</v>
      </c>
    </row>
    <row r="198" spans="2:12" x14ac:dyDescent="0.2">
      <c r="B198" s="237" t="s">
        <v>186</v>
      </c>
      <c r="C198" s="145"/>
      <c r="D198" s="145"/>
      <c r="E198" s="145"/>
      <c r="F198" s="145"/>
      <c r="G198" s="145"/>
      <c r="H198" s="13"/>
      <c r="I198" s="13"/>
      <c r="J198" s="13"/>
      <c r="K198" s="13"/>
      <c r="L198" s="13"/>
    </row>
    <row r="199" spans="2:12" x14ac:dyDescent="0.2">
      <c r="B199" s="240" t="s">
        <v>187</v>
      </c>
      <c r="C199" s="239">
        <f>SUM(C194:C198)</f>
        <v>-237370</v>
      </c>
      <c r="D199" s="239">
        <f t="shared" ref="D199:L199" si="80">SUM(D194:D198)</f>
        <v>-569738</v>
      </c>
      <c r="E199" s="239">
        <f t="shared" si="80"/>
        <v>-14640</v>
      </c>
      <c r="F199" s="239">
        <f t="shared" si="80"/>
        <v>-18184</v>
      </c>
      <c r="G199" s="239">
        <f t="shared" si="80"/>
        <v>-30636</v>
      </c>
      <c r="H199" s="239">
        <f>SUM(H194:H198)</f>
        <v>-38268.698592254106</v>
      </c>
      <c r="I199" s="239">
        <f t="shared" si="80"/>
        <v>-41930.755372070431</v>
      </c>
      <c r="J199" s="239">
        <f t="shared" si="80"/>
        <v>-46439.426732547356</v>
      </c>
      <c r="K199" s="239">
        <f t="shared" si="80"/>
        <v>-51839.545015263429</v>
      </c>
      <c r="L199" s="239">
        <f t="shared" si="80"/>
        <v>-58238.684052346885</v>
      </c>
    </row>
    <row r="200" spans="2:12" x14ac:dyDescent="0.2">
      <c r="C200" s="145"/>
      <c r="D200" s="145"/>
      <c r="E200" s="145"/>
      <c r="F200" s="145"/>
      <c r="G200" s="145"/>
      <c r="H200" s="13"/>
      <c r="I200" s="13"/>
      <c r="J200" s="13"/>
      <c r="K200" s="13"/>
      <c r="L200" s="13"/>
    </row>
    <row r="201" spans="2:12" x14ac:dyDescent="0.2">
      <c r="B201" s="70" t="s">
        <v>188</v>
      </c>
      <c r="C201" s="145"/>
      <c r="D201" s="145"/>
      <c r="E201" s="145"/>
      <c r="F201" s="145"/>
      <c r="G201" s="145"/>
      <c r="H201" s="13"/>
      <c r="I201" s="13"/>
      <c r="J201" s="13"/>
      <c r="K201" s="13"/>
      <c r="L201" s="13"/>
    </row>
    <row r="202" spans="2:12" x14ac:dyDescent="0.2">
      <c r="B202" s="237" t="s">
        <v>189</v>
      </c>
      <c r="C202" s="145">
        <v>21008</v>
      </c>
      <c r="D202" s="145">
        <v>17949</v>
      </c>
      <c r="E202" s="145">
        <v>4710</v>
      </c>
      <c r="F202" s="145">
        <v>2144</v>
      </c>
      <c r="G202" s="145">
        <v>2231</v>
      </c>
      <c r="H202" s="13">
        <f>F81/1000</f>
        <v>29226.328739999997</v>
      </c>
      <c r="I202" s="13">
        <f>0.01*I4</f>
        <v>16608.900344038084</v>
      </c>
      <c r="J202" s="13">
        <f>0.01*J4</f>
        <v>20338.588850760727</v>
      </c>
      <c r="K202" s="13">
        <f>0.01*K4</f>
        <v>24646.489152737777</v>
      </c>
      <c r="L202" s="13">
        <f>0.01*L4</f>
        <v>29556.61239193883</v>
      </c>
    </row>
    <row r="203" spans="2:12" x14ac:dyDescent="0.2">
      <c r="B203" s="237" t="s">
        <v>190</v>
      </c>
      <c r="C203" s="145">
        <v>952534</v>
      </c>
      <c r="D203" s="145">
        <v>823515</v>
      </c>
      <c r="E203" s="145">
        <v>0</v>
      </c>
      <c r="F203" s="145">
        <v>0</v>
      </c>
      <c r="G203" s="145">
        <v>0</v>
      </c>
      <c r="H203" s="13">
        <v>0</v>
      </c>
      <c r="I203" s="13">
        <v>0</v>
      </c>
      <c r="J203" s="13">
        <v>0</v>
      </c>
      <c r="K203" s="13">
        <v>0</v>
      </c>
      <c r="L203" s="13">
        <v>0</v>
      </c>
    </row>
    <row r="204" spans="2:12" x14ac:dyDescent="0.2">
      <c r="B204" s="237" t="s">
        <v>191</v>
      </c>
      <c r="C204" s="145">
        <v>-45319</v>
      </c>
      <c r="D204" s="145">
        <v>-34190</v>
      </c>
      <c r="E204" s="145">
        <v>-193</v>
      </c>
      <c r="F204" s="145">
        <v>-106</v>
      </c>
      <c r="G204" s="145">
        <v>0</v>
      </c>
      <c r="H204" s="145">
        <v>0</v>
      </c>
      <c r="I204" s="145">
        <v>0</v>
      </c>
      <c r="J204" s="145">
        <v>0</v>
      </c>
      <c r="K204" s="145">
        <v>0</v>
      </c>
      <c r="L204" s="145">
        <v>0</v>
      </c>
    </row>
    <row r="205" spans="2:12" x14ac:dyDescent="0.2">
      <c r="B205" s="237" t="s">
        <v>192</v>
      </c>
      <c r="C205" s="145">
        <v>0</v>
      </c>
      <c r="D205" s="145">
        <v>0</v>
      </c>
      <c r="E205" s="145">
        <v>0</v>
      </c>
      <c r="F205" s="145">
        <v>0</v>
      </c>
      <c r="G205" s="145">
        <v>-132317</v>
      </c>
      <c r="H205" s="13">
        <f>-(C73*C88)/1000</f>
        <v>-29226.328739999997</v>
      </c>
      <c r="I205" s="13">
        <f>-(I67*$C$88)/1000</f>
        <v>-55125</v>
      </c>
      <c r="J205" s="13">
        <f>-(J67*$C$88)/1000</f>
        <v>-55125</v>
      </c>
      <c r="K205" s="13">
        <f>-(K67*$C$88)/1000</f>
        <v>-55125</v>
      </c>
      <c r="L205" s="13">
        <f>-(L67*$C$88)/1000</f>
        <v>-55125</v>
      </c>
    </row>
    <row r="206" spans="2:12" x14ac:dyDescent="0.2">
      <c r="B206" s="237" t="s">
        <v>193</v>
      </c>
      <c r="C206" s="145">
        <v>-4351</v>
      </c>
      <c r="D206" s="145">
        <v>-6952</v>
      </c>
      <c r="E206" s="145">
        <v>-8870</v>
      </c>
      <c r="F206" s="145">
        <v>-8227</v>
      </c>
      <c r="G206" s="145">
        <v>-8410</v>
      </c>
      <c r="H206" s="13">
        <f>-G130</f>
        <v>-5654</v>
      </c>
      <c r="I206" s="13">
        <f>-H130</f>
        <v>-217.25181811833005</v>
      </c>
      <c r="J206" s="13">
        <f>-I130</f>
        <v>-162.81984801223624</v>
      </c>
      <c r="K206" s="13">
        <f>-J130</f>
        <v>-102.068225801818</v>
      </c>
      <c r="L206" s="13">
        <f>-K130</f>
        <v>26.960186677502371</v>
      </c>
    </row>
    <row r="207" spans="2:12" x14ac:dyDescent="0.2">
      <c r="B207" s="237" t="s">
        <v>194</v>
      </c>
      <c r="C207" s="145">
        <v>0</v>
      </c>
      <c r="D207" s="145">
        <v>0</v>
      </c>
      <c r="E207" s="145">
        <v>-30000</v>
      </c>
      <c r="F207" s="145">
        <v>0</v>
      </c>
      <c r="G207" s="145">
        <v>0</v>
      </c>
      <c r="H207" s="13">
        <v>0</v>
      </c>
      <c r="I207" s="13">
        <v>0</v>
      </c>
      <c r="J207" s="13">
        <v>0</v>
      </c>
      <c r="K207" s="13">
        <v>0</v>
      </c>
      <c r="L207" s="13">
        <v>0</v>
      </c>
    </row>
    <row r="208" spans="2:12" x14ac:dyDescent="0.2">
      <c r="B208" s="237" t="s">
        <v>195</v>
      </c>
      <c r="C208" s="145">
        <v>-1557</v>
      </c>
      <c r="D208" s="145">
        <v>-1810</v>
      </c>
      <c r="E208" s="145">
        <v>-1058</v>
      </c>
      <c r="F208" s="145">
        <v>-37</v>
      </c>
      <c r="G208" s="145">
        <v>-180</v>
      </c>
      <c r="H208" s="13">
        <v>0</v>
      </c>
      <c r="I208" s="13">
        <v>0</v>
      </c>
      <c r="J208" s="13">
        <v>0</v>
      </c>
      <c r="K208" s="13">
        <v>0</v>
      </c>
      <c r="L208" s="13">
        <v>0</v>
      </c>
    </row>
    <row r="209" spans="2:12" x14ac:dyDescent="0.2">
      <c r="B209" s="240" t="s">
        <v>196</v>
      </c>
      <c r="C209" s="239">
        <f>SUM(C202:C208)</f>
        <v>922315</v>
      </c>
      <c r="D209" s="239">
        <f>SUM(D202:D208)</f>
        <v>798512</v>
      </c>
      <c r="E209" s="239">
        <f t="shared" ref="E209:L209" si="81">SUM(E202:E208)</f>
        <v>-35411</v>
      </c>
      <c r="F209" s="239">
        <f t="shared" si="81"/>
        <v>-6226</v>
      </c>
      <c r="G209" s="239">
        <f t="shared" si="81"/>
        <v>-138676</v>
      </c>
      <c r="H209" s="239">
        <f>SUM(H202:H208)</f>
        <v>-5654</v>
      </c>
      <c r="I209" s="239">
        <f t="shared" si="81"/>
        <v>-38733.351474080249</v>
      </c>
      <c r="J209" s="239">
        <f t="shared" si="81"/>
        <v>-34949.230997251507</v>
      </c>
      <c r="K209" s="239">
        <f t="shared" si="81"/>
        <v>-30580.57907306404</v>
      </c>
      <c r="L209" s="239">
        <f t="shared" si="81"/>
        <v>-25541.427421383669</v>
      </c>
    </row>
    <row r="210" spans="2:12" x14ac:dyDescent="0.2">
      <c r="C210" s="145"/>
      <c r="D210" s="145"/>
      <c r="E210" s="145"/>
      <c r="F210" s="145"/>
      <c r="G210" s="145"/>
      <c r="H210" s="13"/>
      <c r="I210" s="13"/>
      <c r="J210" s="13"/>
      <c r="K210" s="13"/>
      <c r="L210" s="13"/>
    </row>
    <row r="211" spans="2:12" x14ac:dyDescent="0.2">
      <c r="B211" s="241" t="s">
        <v>197</v>
      </c>
      <c r="C211" s="242">
        <f>C213-C212</f>
        <v>596181</v>
      </c>
      <c r="D211" s="242">
        <f t="shared" ref="D211:G211" si="82">D213-D212</f>
        <v>146504</v>
      </c>
      <c r="E211" s="242">
        <f t="shared" si="82"/>
        <v>-153500</v>
      </c>
      <c r="F211" s="242">
        <f t="shared" si="82"/>
        <v>-78052</v>
      </c>
      <c r="G211" s="242">
        <f t="shared" si="82"/>
        <v>-163633</v>
      </c>
      <c r="H211" s="242">
        <f ca="1">H191+H199+H209</f>
        <v>-75737.242342396261</v>
      </c>
      <c r="I211" s="242">
        <f ca="1">I191+I199+I209</f>
        <v>-45430.428411119006</v>
      </c>
      <c r="J211" s="242">
        <f ca="1">J191+J199+J209</f>
        <v>31002.842032975648</v>
      </c>
      <c r="K211" s="242">
        <f ca="1">K191+K199+K209</f>
        <v>106805.45619547206</v>
      </c>
      <c r="L211" s="242">
        <f ca="1">L191+L199+L209</f>
        <v>184596.44006333305</v>
      </c>
    </row>
    <row r="212" spans="2:12" x14ac:dyDescent="0.2">
      <c r="B212" s="243" t="s">
        <v>198</v>
      </c>
      <c r="C212" s="146">
        <f>210969</f>
        <v>210969</v>
      </c>
      <c r="D212" s="146">
        <f t="shared" ref="D212:H212" si="83">C213</f>
        <v>807150</v>
      </c>
      <c r="E212" s="146">
        <f t="shared" si="83"/>
        <v>953654</v>
      </c>
      <c r="F212" s="146">
        <f t="shared" si="83"/>
        <v>800154</v>
      </c>
      <c r="G212" s="146">
        <f t="shared" si="83"/>
        <v>722102</v>
      </c>
      <c r="H212" s="146">
        <f t="shared" si="83"/>
        <v>558469</v>
      </c>
      <c r="I212" s="146">
        <f ca="1">H213</f>
        <v>482731.75765760371</v>
      </c>
      <c r="J212" s="146">
        <f ca="1">I213</f>
        <v>437301.32924648467</v>
      </c>
      <c r="K212" s="146">
        <f ca="1">J213</f>
        <v>468304.17127946031</v>
      </c>
      <c r="L212" s="146">
        <f ca="1">K213</f>
        <v>575109.62747493235</v>
      </c>
    </row>
    <row r="213" spans="2:12" x14ac:dyDescent="0.2">
      <c r="B213" s="243" t="s">
        <v>199</v>
      </c>
      <c r="C213" s="146">
        <f>C103</f>
        <v>807150</v>
      </c>
      <c r="D213" s="146">
        <f>D103</f>
        <v>953654</v>
      </c>
      <c r="E213" s="146">
        <f>E103</f>
        <v>800154</v>
      </c>
      <c r="F213" s="146">
        <f>F103</f>
        <v>722102</v>
      </c>
      <c r="G213" s="146">
        <f>G103</f>
        <v>558469</v>
      </c>
      <c r="H213" s="146">
        <f ca="1">H212+H211</f>
        <v>482731.75765760371</v>
      </c>
      <c r="I213" s="146">
        <f ca="1">I212+I211</f>
        <v>437301.32924648467</v>
      </c>
      <c r="J213" s="146">
        <f ca="1">J212+J211</f>
        <v>468304.17127946031</v>
      </c>
      <c r="K213" s="146">
        <f ca="1">K212+K211</f>
        <v>575109.62747493235</v>
      </c>
      <c r="L213" s="146">
        <f ca="1">L212+L211</f>
        <v>759706.06753826537</v>
      </c>
    </row>
    <row r="214" spans="2:12" ht="16" thickBot="1" x14ac:dyDescent="0.25">
      <c r="C214" s="13"/>
    </row>
    <row r="215" spans="2:12" ht="16" thickBot="1" x14ac:dyDescent="0.25">
      <c r="B215" s="301" t="s">
        <v>200</v>
      </c>
      <c r="C215" s="262">
        <f t="shared" ref="C215:L215" si="84">+C213-C103</f>
        <v>0</v>
      </c>
      <c r="D215" s="262">
        <f t="shared" si="84"/>
        <v>0</v>
      </c>
      <c r="E215" s="262">
        <f t="shared" si="84"/>
        <v>0</v>
      </c>
      <c r="F215" s="262">
        <f t="shared" si="84"/>
        <v>0</v>
      </c>
      <c r="G215" s="262">
        <f t="shared" si="84"/>
        <v>0</v>
      </c>
      <c r="H215" s="262">
        <f t="shared" ca="1" si="84"/>
        <v>0</v>
      </c>
      <c r="I215" s="262">
        <f t="shared" ca="1" si="84"/>
        <v>0</v>
      </c>
      <c r="J215" s="262">
        <f t="shared" ca="1" si="84"/>
        <v>0</v>
      </c>
      <c r="K215" s="262">
        <f t="shared" ca="1" si="84"/>
        <v>0</v>
      </c>
      <c r="L215" s="263">
        <f t="shared" ca="1" si="84"/>
        <v>0</v>
      </c>
    </row>
    <row r="216" spans="2:12" x14ac:dyDescent="0.2">
      <c r="C216" s="145"/>
      <c r="D216" s="145"/>
    </row>
  </sheetData>
  <mergeCells count="7">
    <mergeCell ref="C164:G164"/>
    <mergeCell ref="H164:L164"/>
    <mergeCell ref="C2:G2"/>
    <mergeCell ref="H2:L2"/>
    <mergeCell ref="M2:AA2"/>
    <mergeCell ref="C99:G99"/>
    <mergeCell ref="H99:L99"/>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5"/>
  <sheetViews>
    <sheetView workbookViewId="0"/>
  </sheetViews>
  <sheetFormatPr baseColWidth="10" defaultColWidth="8.83203125" defaultRowHeight="15" x14ac:dyDescent="0.2"/>
  <cols>
    <col min="1" max="1" width="46.5" customWidth="1"/>
    <col min="2" max="9" width="12.1640625" customWidth="1"/>
    <col min="10" max="11" width="12.5" customWidth="1"/>
  </cols>
  <sheetData>
    <row r="1" spans="1:11" x14ac:dyDescent="0.2">
      <c r="A1" s="1" t="s">
        <v>482</v>
      </c>
      <c r="B1" s="1" t="s">
        <v>483</v>
      </c>
      <c r="C1" s="1" t="s">
        <v>484</v>
      </c>
      <c r="D1" s="1" t="s">
        <v>485</v>
      </c>
      <c r="E1" s="1" t="s">
        <v>486</v>
      </c>
      <c r="F1" s="1" t="s">
        <v>487</v>
      </c>
      <c r="G1" s="1" t="s">
        <v>488</v>
      </c>
      <c r="H1" s="1" t="s">
        <v>489</v>
      </c>
      <c r="I1" s="1" t="s">
        <v>490</v>
      </c>
      <c r="J1" s="1" t="s">
        <v>491</v>
      </c>
      <c r="K1" s="1" t="s">
        <v>492</v>
      </c>
    </row>
    <row r="2" spans="1:11" x14ac:dyDescent="0.2">
      <c r="A2" s="2" t="s">
        <v>493</v>
      </c>
      <c r="B2" s="3">
        <v>43190</v>
      </c>
      <c r="C2" s="3">
        <v>43555</v>
      </c>
      <c r="D2" s="3">
        <v>43921</v>
      </c>
      <c r="E2" s="3">
        <v>44286</v>
      </c>
      <c r="F2" s="3">
        <v>44651</v>
      </c>
      <c r="G2" s="3">
        <v>45016</v>
      </c>
      <c r="H2" s="3">
        <v>45382</v>
      </c>
      <c r="I2" s="3">
        <v>45747</v>
      </c>
      <c r="J2" s="3">
        <v>46112</v>
      </c>
      <c r="K2" s="3">
        <v>46477</v>
      </c>
    </row>
    <row r="3" spans="1:11" x14ac:dyDescent="0.2">
      <c r="A3" s="4" t="s">
        <v>494</v>
      </c>
      <c r="B3" s="5"/>
      <c r="C3" s="5"/>
      <c r="D3" s="5"/>
      <c r="E3" s="5"/>
      <c r="F3" s="5"/>
      <c r="G3" s="5"/>
      <c r="H3" s="5"/>
      <c r="I3" s="5"/>
      <c r="J3" s="5"/>
      <c r="K3" s="5"/>
    </row>
    <row r="4" spans="1:11" x14ac:dyDescent="0.2">
      <c r="A4" s="4" t="s">
        <v>495</v>
      </c>
      <c r="B4" s="5" t="s">
        <v>496</v>
      </c>
      <c r="C4" s="5">
        <v>-5.5272680000000003</v>
      </c>
      <c r="D4" s="5">
        <v>-0.62</v>
      </c>
      <c r="E4" s="5">
        <v>-1.18</v>
      </c>
      <c r="F4" s="5">
        <v>-0.37</v>
      </c>
      <c r="G4" s="5">
        <v>-0.17</v>
      </c>
      <c r="H4" s="5">
        <v>0.16</v>
      </c>
      <c r="I4" s="5">
        <v>0.45</v>
      </c>
      <c r="J4" s="5">
        <v>0.47437499999999999</v>
      </c>
      <c r="K4" s="5">
        <v>0.69437499999999996</v>
      </c>
    </row>
    <row r="5" spans="1:11" x14ac:dyDescent="0.2">
      <c r="A5" s="4" t="s">
        <v>497</v>
      </c>
      <c r="B5" s="5" t="s">
        <v>496</v>
      </c>
      <c r="C5" s="5">
        <v>77.450999999999993</v>
      </c>
      <c r="D5" s="5">
        <v>120.637</v>
      </c>
      <c r="E5" s="5">
        <v>221.72800000000001</v>
      </c>
      <c r="F5" s="5">
        <v>548.37199999999996</v>
      </c>
      <c r="G5" s="5">
        <v>730.50599999999997</v>
      </c>
      <c r="H5" s="5">
        <v>909.27</v>
      </c>
      <c r="I5" s="5">
        <v>1076.826</v>
      </c>
      <c r="J5" s="5">
        <v>1216.7</v>
      </c>
      <c r="K5" s="5">
        <v>1362.25</v>
      </c>
    </row>
    <row r="6" spans="1:11" x14ac:dyDescent="0.2">
      <c r="A6" s="4" t="s">
        <v>498</v>
      </c>
      <c r="B6" s="5"/>
      <c r="C6" s="5"/>
      <c r="D6" s="5"/>
      <c r="E6" s="5"/>
      <c r="F6" s="5"/>
      <c r="G6" s="5"/>
      <c r="H6" s="5"/>
      <c r="I6" s="5"/>
      <c r="J6" s="5"/>
      <c r="K6" s="5"/>
    </row>
    <row r="7" spans="1:11" x14ac:dyDescent="0.2">
      <c r="A7" s="4" t="s">
        <v>499</v>
      </c>
      <c r="B7" s="5" t="s">
        <v>496</v>
      </c>
      <c r="C7" s="5" t="s">
        <v>496</v>
      </c>
      <c r="D7" s="5">
        <v>22300</v>
      </c>
      <c r="E7" s="5">
        <v>33700</v>
      </c>
      <c r="F7" s="5">
        <v>74000</v>
      </c>
      <c r="G7" s="5">
        <v>87100</v>
      </c>
      <c r="H7" s="5">
        <v>90700</v>
      </c>
      <c r="I7" s="5">
        <v>91300</v>
      </c>
      <c r="J7" s="5">
        <v>95659.573797669495</v>
      </c>
      <c r="K7" s="5">
        <v>100999.17197491</v>
      </c>
    </row>
    <row r="8" spans="1:11" x14ac:dyDescent="0.2">
      <c r="A8" s="4" t="s">
        <v>500</v>
      </c>
      <c r="B8" s="5" t="s">
        <v>496</v>
      </c>
      <c r="C8" s="5">
        <v>49</v>
      </c>
      <c r="D8" s="5">
        <v>76.5</v>
      </c>
      <c r="E8" s="5">
        <v>119000</v>
      </c>
      <c r="F8" s="5">
        <v>323000</v>
      </c>
      <c r="G8" s="5">
        <v>168000</v>
      </c>
      <c r="H8" s="5">
        <v>165000</v>
      </c>
      <c r="I8" s="5">
        <v>144</v>
      </c>
      <c r="J8" s="5">
        <v>159.16340006428001</v>
      </c>
      <c r="K8" s="5">
        <v>165.63426914569001</v>
      </c>
    </row>
    <row r="9" spans="1:11" x14ac:dyDescent="0.2">
      <c r="A9" s="4" t="s">
        <v>498</v>
      </c>
      <c r="B9" s="5"/>
      <c r="C9" s="5"/>
      <c r="D9" s="5"/>
      <c r="E9" s="5"/>
      <c r="F9" s="5"/>
      <c r="G9" s="5"/>
      <c r="H9" s="5"/>
      <c r="I9" s="5"/>
      <c r="J9" s="5"/>
      <c r="K9" s="5"/>
    </row>
    <row r="10" spans="1:11" x14ac:dyDescent="0.2">
      <c r="A10" s="4" t="s">
        <v>501</v>
      </c>
      <c r="B10" s="5"/>
      <c r="C10" s="5"/>
      <c r="D10" s="5"/>
      <c r="E10" s="5"/>
      <c r="F10" s="5"/>
      <c r="G10" s="5"/>
      <c r="H10" s="5"/>
      <c r="I10" s="5"/>
      <c r="J10" s="5"/>
      <c r="K10" s="5"/>
    </row>
    <row r="11" spans="1:11" x14ac:dyDescent="0.2">
      <c r="A11" s="4" t="s">
        <v>502</v>
      </c>
      <c r="B11" s="5" t="s">
        <v>496</v>
      </c>
      <c r="C11" s="5" t="s">
        <v>496</v>
      </c>
      <c r="D11" s="5">
        <v>78.796000000000006</v>
      </c>
      <c r="E11" s="5">
        <v>119.32299999999999</v>
      </c>
      <c r="F11" s="5">
        <v>248.43</v>
      </c>
      <c r="G11" s="5">
        <v>298.76299999999998</v>
      </c>
      <c r="H11" s="5">
        <v>322</v>
      </c>
      <c r="I11" s="5">
        <v>344.77199999999999</v>
      </c>
      <c r="J11" s="5">
        <v>375.10342553457002</v>
      </c>
      <c r="K11" s="5">
        <v>412.932556416799</v>
      </c>
    </row>
    <row r="12" spans="1:11" x14ac:dyDescent="0.2">
      <c r="A12" s="4" t="s">
        <v>503</v>
      </c>
      <c r="B12" s="5" t="s">
        <v>496</v>
      </c>
      <c r="C12" s="5" t="s">
        <v>496</v>
      </c>
      <c r="D12" s="5">
        <v>28.074999999999999</v>
      </c>
      <c r="E12" s="5">
        <v>82.950999999999993</v>
      </c>
      <c r="F12" s="5">
        <v>264.04399999999998</v>
      </c>
      <c r="G12" s="5">
        <v>399.55200000000002</v>
      </c>
      <c r="H12" s="5">
        <v>545.47</v>
      </c>
      <c r="I12" s="5">
        <v>697.27300000000002</v>
      </c>
      <c r="J12" s="5">
        <v>804.55605823523399</v>
      </c>
      <c r="K12" s="5">
        <v>910.46756650928899</v>
      </c>
    </row>
    <row r="13" spans="1:11" x14ac:dyDescent="0.2">
      <c r="A13" s="4" t="s">
        <v>504</v>
      </c>
      <c r="B13" s="5">
        <v>5.9349999999999996</v>
      </c>
      <c r="C13" s="5">
        <v>8.8010000000000002</v>
      </c>
      <c r="D13" s="5">
        <v>13.766</v>
      </c>
      <c r="E13" s="5">
        <v>19.454000000000001</v>
      </c>
      <c r="F13" s="5">
        <v>35.898000000000003</v>
      </c>
      <c r="G13" s="5">
        <v>32.191000000000003</v>
      </c>
      <c r="H13" s="5">
        <v>41.8</v>
      </c>
      <c r="I13" s="5">
        <v>34.780999999999999</v>
      </c>
      <c r="J13" s="5">
        <v>37.370747058527002</v>
      </c>
      <c r="K13" s="5">
        <v>36.4340733766076</v>
      </c>
    </row>
    <row r="14" spans="1:11" x14ac:dyDescent="0.2">
      <c r="A14" s="4" t="s">
        <v>498</v>
      </c>
      <c r="B14" s="5"/>
      <c r="C14" s="5"/>
      <c r="D14" s="5"/>
      <c r="E14" s="5"/>
      <c r="F14" s="5"/>
      <c r="G14" s="5"/>
      <c r="H14" s="5"/>
      <c r="I14" s="5"/>
      <c r="J14" s="5"/>
      <c r="K14" s="5"/>
    </row>
    <row r="15" spans="1:11" x14ac:dyDescent="0.2">
      <c r="A15" s="4" t="s">
        <v>505</v>
      </c>
      <c r="B15" s="5" t="s">
        <v>496</v>
      </c>
      <c r="C15" s="5">
        <v>-15.531000000000001</v>
      </c>
      <c r="D15" s="5">
        <v>-21.66</v>
      </c>
      <c r="E15" s="5">
        <v>-21.199000000000002</v>
      </c>
      <c r="F15" s="5">
        <v>-41.515000000000001</v>
      </c>
      <c r="G15" s="5">
        <v>-33.881</v>
      </c>
      <c r="H15" s="5">
        <v>1.2649999999999999</v>
      </c>
      <c r="I15" s="5">
        <v>53.686999999999998</v>
      </c>
      <c r="J15" s="5">
        <v>73.045000000000002</v>
      </c>
      <c r="K15" s="5">
        <v>98.625</v>
      </c>
    </row>
    <row r="16" spans="1:11" x14ac:dyDescent="0.2">
      <c r="A16" s="4" t="s">
        <v>498</v>
      </c>
      <c r="B16" s="5"/>
      <c r="C16" s="5"/>
      <c r="D16" s="5"/>
      <c r="E16" s="5"/>
      <c r="F16" s="5"/>
      <c r="G16" s="5"/>
      <c r="H16" s="5"/>
      <c r="I16" s="5"/>
      <c r="J16" s="5"/>
      <c r="K16" s="5"/>
    </row>
    <row r="17" spans="1:11" x14ac:dyDescent="0.2">
      <c r="A17" s="4" t="s">
        <v>506</v>
      </c>
      <c r="B17" s="5"/>
      <c r="C17" s="5"/>
      <c r="D17" s="5"/>
      <c r="E17" s="5"/>
      <c r="F17" s="5"/>
      <c r="G17" s="5"/>
      <c r="H17" s="5"/>
      <c r="I17" s="5"/>
      <c r="J17" s="5"/>
      <c r="K17" s="5"/>
    </row>
    <row r="18" spans="1:11" x14ac:dyDescent="0.2">
      <c r="A18" s="4" t="s">
        <v>498</v>
      </c>
      <c r="B18" s="5"/>
      <c r="C18" s="5"/>
      <c r="D18" s="5"/>
      <c r="E18" s="5"/>
      <c r="F18" s="5"/>
      <c r="G18" s="5"/>
      <c r="H18" s="5"/>
      <c r="I18" s="5"/>
      <c r="J18" s="5"/>
      <c r="K18" s="5"/>
    </row>
    <row r="19" spans="1:11" x14ac:dyDescent="0.2">
      <c r="A19" s="4" t="s">
        <v>507</v>
      </c>
      <c r="B19" s="5"/>
      <c r="C19" s="5"/>
      <c r="D19" s="5"/>
      <c r="E19" s="5"/>
      <c r="F19" s="5"/>
      <c r="G19" s="5"/>
      <c r="H19" s="5"/>
      <c r="I19" s="5"/>
      <c r="J19" s="5"/>
      <c r="K19" s="5"/>
    </row>
    <row r="20" spans="1:11" x14ac:dyDescent="0.2">
      <c r="A20" s="4" t="s">
        <v>499</v>
      </c>
      <c r="B20" s="5" t="s">
        <v>496</v>
      </c>
      <c r="C20" s="5" t="s">
        <v>496</v>
      </c>
      <c r="D20" s="5">
        <v>22300</v>
      </c>
      <c r="E20" s="5">
        <v>33700</v>
      </c>
      <c r="F20" s="5">
        <v>74000</v>
      </c>
      <c r="G20" s="5">
        <v>87100</v>
      </c>
      <c r="H20" s="5">
        <v>90700</v>
      </c>
      <c r="I20" s="5">
        <v>91300</v>
      </c>
      <c r="J20" s="5">
        <v>95659.573797669495</v>
      </c>
      <c r="K20" s="5">
        <v>100999.17197491</v>
      </c>
    </row>
    <row r="21" spans="1:11" x14ac:dyDescent="0.2">
      <c r="A21" s="4" t="s">
        <v>508</v>
      </c>
      <c r="B21" s="5" t="s">
        <v>496</v>
      </c>
      <c r="C21" s="5" t="s">
        <v>496</v>
      </c>
      <c r="D21" s="5" t="s">
        <v>496</v>
      </c>
      <c r="E21" s="5" t="s">
        <v>496</v>
      </c>
      <c r="F21" s="5">
        <v>8100</v>
      </c>
      <c r="G21" s="5">
        <v>3800</v>
      </c>
      <c r="H21" s="5">
        <v>6600</v>
      </c>
      <c r="I21" s="5">
        <v>7900</v>
      </c>
      <c r="J21" s="5">
        <v>40192.537495777098</v>
      </c>
      <c r="K21" s="5">
        <v>46079.9834394711</v>
      </c>
    </row>
    <row r="22" spans="1:11" x14ac:dyDescent="0.2">
      <c r="A22" s="4" t="s">
        <v>500</v>
      </c>
      <c r="B22" s="5" t="s">
        <v>496</v>
      </c>
      <c r="C22" s="5">
        <v>49</v>
      </c>
      <c r="D22" s="5">
        <v>76.5</v>
      </c>
      <c r="E22" s="5">
        <v>119000</v>
      </c>
      <c r="F22" s="5">
        <v>323000</v>
      </c>
      <c r="G22" s="5">
        <v>168000</v>
      </c>
      <c r="H22" s="5">
        <v>165000</v>
      </c>
      <c r="I22" s="5">
        <v>144</v>
      </c>
      <c r="J22" s="5">
        <v>159.16340006428001</v>
      </c>
      <c r="K22" s="5">
        <v>165.63426914569001</v>
      </c>
    </row>
    <row r="23" spans="1:11" x14ac:dyDescent="0.2">
      <c r="A23" s="4" t="s">
        <v>498</v>
      </c>
      <c r="B23" s="5"/>
      <c r="C23" s="5"/>
      <c r="D23" s="5"/>
      <c r="E23" s="5"/>
      <c r="F23" s="5"/>
      <c r="G23" s="5"/>
      <c r="H23" s="5"/>
      <c r="I23" s="5"/>
      <c r="J23" s="5"/>
      <c r="K23" s="5"/>
    </row>
    <row r="24" spans="1:11" x14ac:dyDescent="0.2">
      <c r="A24" s="4" t="s">
        <v>509</v>
      </c>
      <c r="B24" s="5" t="s">
        <v>496</v>
      </c>
      <c r="C24" s="5" t="s">
        <v>496</v>
      </c>
      <c r="D24" s="5" t="s">
        <v>496</v>
      </c>
      <c r="E24" s="5" t="s">
        <v>496</v>
      </c>
      <c r="F24" s="5" t="s">
        <v>496</v>
      </c>
      <c r="G24" s="5" t="s">
        <v>496</v>
      </c>
      <c r="H24" s="5" t="s">
        <v>496</v>
      </c>
      <c r="I24" s="5" t="s">
        <v>496</v>
      </c>
      <c r="J24" s="5">
        <v>1.9785754222391201</v>
      </c>
      <c r="K24" s="5">
        <v>1.9572871447052</v>
      </c>
    </row>
    <row r="25" spans="1:11" ht="41.25" customHeight="1" x14ac:dyDescent="0.2">
      <c r="A25" s="4" t="s">
        <v>510</v>
      </c>
      <c r="B25" s="5" t="s">
        <v>496</v>
      </c>
      <c r="C25" s="5" t="s">
        <v>496</v>
      </c>
      <c r="D25" s="5" t="s">
        <v>496</v>
      </c>
      <c r="E25" s="5" t="s">
        <v>496</v>
      </c>
      <c r="F25" s="5" t="s">
        <v>496</v>
      </c>
      <c r="G25" s="5" t="s">
        <v>496</v>
      </c>
      <c r="H25" s="5" t="s">
        <v>496</v>
      </c>
      <c r="I25" s="5" t="s">
        <v>496</v>
      </c>
      <c r="J25" s="5">
        <v>0.58841176470588197</v>
      </c>
      <c r="K25" s="5">
        <v>0.57600331302472396</v>
      </c>
    </row>
    <row r="26" spans="1:11" x14ac:dyDescent="0.2">
      <c r="A26" s="4" t="s">
        <v>498</v>
      </c>
      <c r="B26" s="5"/>
      <c r="C26" s="5"/>
      <c r="D26" s="5"/>
      <c r="E26" s="5"/>
      <c r="F26" s="5"/>
      <c r="G26" s="5"/>
      <c r="H26" s="5"/>
      <c r="I26" s="5"/>
      <c r="J26" s="5"/>
      <c r="K26" s="5"/>
    </row>
    <row r="27" spans="1:11" x14ac:dyDescent="0.2">
      <c r="A27" s="4" t="s">
        <v>511</v>
      </c>
      <c r="B27" s="5" t="s">
        <v>496</v>
      </c>
      <c r="C27" s="5" t="s">
        <v>496</v>
      </c>
      <c r="D27" s="5" t="s">
        <v>496</v>
      </c>
      <c r="E27" s="5" t="s">
        <v>496</v>
      </c>
      <c r="F27" s="5" t="s">
        <v>496</v>
      </c>
      <c r="G27" s="5" t="s">
        <v>496</v>
      </c>
      <c r="H27" s="5" t="s">
        <v>496</v>
      </c>
      <c r="I27" s="5" t="s">
        <v>496</v>
      </c>
      <c r="J27" s="5">
        <v>616.05261223633204</v>
      </c>
      <c r="K27" s="5">
        <v>670.26239968595905</v>
      </c>
    </row>
    <row r="28" spans="1:11" x14ac:dyDescent="0.2">
      <c r="A28" s="4" t="s">
        <v>502</v>
      </c>
      <c r="B28" s="5" t="s">
        <v>496</v>
      </c>
      <c r="C28" s="5" t="s">
        <v>496</v>
      </c>
      <c r="D28" s="5" t="s">
        <v>496</v>
      </c>
      <c r="E28" s="5" t="s">
        <v>496</v>
      </c>
      <c r="F28" s="5" t="s">
        <v>496</v>
      </c>
      <c r="G28" s="5" t="s">
        <v>496</v>
      </c>
      <c r="H28" s="5" t="s">
        <v>496</v>
      </c>
      <c r="I28" s="5" t="s">
        <v>496</v>
      </c>
      <c r="J28" s="5">
        <v>193.02873630686199</v>
      </c>
      <c r="K28" s="5">
        <v>213.73806948891601</v>
      </c>
    </row>
    <row r="29" spans="1:11" x14ac:dyDescent="0.2">
      <c r="A29" s="4" t="s">
        <v>503</v>
      </c>
      <c r="B29" s="5" t="s">
        <v>496</v>
      </c>
      <c r="C29" s="5" t="s">
        <v>496</v>
      </c>
      <c r="D29" s="5" t="s">
        <v>496</v>
      </c>
      <c r="E29" s="5" t="s">
        <v>496</v>
      </c>
      <c r="F29" s="5" t="s">
        <v>496</v>
      </c>
      <c r="G29" s="5" t="s">
        <v>496</v>
      </c>
      <c r="H29" s="5" t="s">
        <v>496</v>
      </c>
      <c r="I29" s="5" t="s">
        <v>496</v>
      </c>
      <c r="J29" s="5">
        <v>350.20082380609</v>
      </c>
      <c r="K29" s="5">
        <v>371.83260237572</v>
      </c>
    </row>
    <row r="30" spans="1:11" x14ac:dyDescent="0.2">
      <c r="A30" s="4" t="s">
        <v>498</v>
      </c>
      <c r="B30" s="5"/>
      <c r="C30" s="5"/>
      <c r="D30" s="5"/>
      <c r="E30" s="5"/>
      <c r="F30" s="5"/>
      <c r="G30" s="5"/>
      <c r="H30" s="5"/>
      <c r="I30" s="5"/>
      <c r="J30" s="5"/>
      <c r="K30" s="5"/>
    </row>
    <row r="31" spans="1:11" x14ac:dyDescent="0.2">
      <c r="A31" s="4" t="s">
        <v>512</v>
      </c>
      <c r="B31" s="5"/>
      <c r="C31" s="5"/>
      <c r="D31" s="5"/>
      <c r="E31" s="5"/>
      <c r="F31" s="5"/>
      <c r="G31" s="5"/>
      <c r="H31" s="5"/>
      <c r="I31" s="5"/>
      <c r="J31" s="5"/>
      <c r="K31" s="5"/>
    </row>
    <row r="32" spans="1:11" x14ac:dyDescent="0.2">
      <c r="A32" s="4" t="s">
        <v>513</v>
      </c>
      <c r="B32" s="5"/>
      <c r="C32" s="5"/>
      <c r="D32" s="5"/>
      <c r="E32" s="5"/>
      <c r="F32" s="5"/>
      <c r="G32" s="5"/>
      <c r="H32" s="5"/>
      <c r="I32" s="5"/>
      <c r="J32" s="5"/>
      <c r="K32" s="5"/>
    </row>
    <row r="33" spans="1:11" x14ac:dyDescent="0.2">
      <c r="A33" s="4" t="s">
        <v>514</v>
      </c>
      <c r="B33" s="5" t="s">
        <v>496</v>
      </c>
      <c r="C33" s="5" t="s">
        <v>496</v>
      </c>
      <c r="D33" s="5">
        <v>78.796000000000006</v>
      </c>
      <c r="E33" s="5">
        <v>119.32299999999999</v>
      </c>
      <c r="F33" s="5">
        <v>248.43</v>
      </c>
      <c r="G33" s="5">
        <v>298.76299999999998</v>
      </c>
      <c r="H33" s="5">
        <v>322</v>
      </c>
      <c r="I33" s="5">
        <v>344.77199999999999</v>
      </c>
      <c r="J33" s="5">
        <v>375.10342553457002</v>
      </c>
      <c r="K33" s="5">
        <v>412.932556416799</v>
      </c>
    </row>
    <row r="34" spans="1:11" x14ac:dyDescent="0.2">
      <c r="A34" s="4" t="s">
        <v>515</v>
      </c>
      <c r="B34" s="5" t="s">
        <v>496</v>
      </c>
      <c r="C34" s="5" t="s">
        <v>496</v>
      </c>
      <c r="D34" s="5">
        <v>88.6</v>
      </c>
      <c r="E34" s="5">
        <v>91.2</v>
      </c>
      <c r="F34" s="5">
        <v>45.3</v>
      </c>
      <c r="G34" s="5">
        <v>40.9</v>
      </c>
      <c r="H34" s="5">
        <v>35.4</v>
      </c>
      <c r="I34" s="5">
        <v>32</v>
      </c>
      <c r="J34" s="5">
        <v>30.8374418519941</v>
      </c>
      <c r="K34" s="5">
        <v>30.812658739013699</v>
      </c>
    </row>
    <row r="35" spans="1:11" x14ac:dyDescent="0.2">
      <c r="A35" s="4" t="s">
        <v>516</v>
      </c>
      <c r="B35" s="5" t="s">
        <v>496</v>
      </c>
      <c r="C35" s="5" t="s">
        <v>496</v>
      </c>
      <c r="D35" s="5">
        <v>28.451000000000001</v>
      </c>
      <c r="E35" s="5">
        <v>75.521000000000001</v>
      </c>
      <c r="F35" s="5">
        <v>72.191999999999993</v>
      </c>
      <c r="G35" s="5">
        <v>80.063999999999993</v>
      </c>
      <c r="H35" s="5">
        <v>77.584999999999994</v>
      </c>
      <c r="I35" s="5">
        <v>70.753</v>
      </c>
      <c r="J35" s="5">
        <v>70.5075687837858</v>
      </c>
      <c r="K35" s="5">
        <v>76.970337247980098</v>
      </c>
    </row>
    <row r="36" spans="1:11" x14ac:dyDescent="0.2">
      <c r="A36" s="4" t="s">
        <v>517</v>
      </c>
      <c r="B36" s="5" t="s">
        <v>496</v>
      </c>
      <c r="C36" s="5" t="s">
        <v>496</v>
      </c>
      <c r="D36" s="5">
        <v>50.344999999999999</v>
      </c>
      <c r="E36" s="5">
        <v>43.802</v>
      </c>
      <c r="F36" s="5">
        <v>176.238</v>
      </c>
      <c r="G36" s="5">
        <v>218.69900000000001</v>
      </c>
      <c r="H36" s="5">
        <v>244.41499999999999</v>
      </c>
      <c r="I36" s="5">
        <v>274.01900000000001</v>
      </c>
      <c r="J36" s="5">
        <v>303.87189616769001</v>
      </c>
      <c r="K36" s="5">
        <v>335.27379407256097</v>
      </c>
    </row>
    <row r="37" spans="1:11" x14ac:dyDescent="0.2">
      <c r="A37" s="4" t="s">
        <v>498</v>
      </c>
      <c r="B37" s="5"/>
      <c r="C37" s="5"/>
      <c r="D37" s="5"/>
      <c r="E37" s="5"/>
      <c r="F37" s="5"/>
      <c r="G37" s="5"/>
      <c r="H37" s="5"/>
      <c r="I37" s="5"/>
      <c r="J37" s="5"/>
      <c r="K37" s="5"/>
    </row>
    <row r="38" spans="1:11" x14ac:dyDescent="0.2">
      <c r="A38" s="4" t="s">
        <v>518</v>
      </c>
      <c r="B38" s="5"/>
      <c r="C38" s="5"/>
      <c r="D38" s="5"/>
      <c r="E38" s="5"/>
      <c r="F38" s="5"/>
      <c r="G38" s="5"/>
      <c r="H38" s="5"/>
      <c r="I38" s="5"/>
      <c r="J38" s="5"/>
      <c r="K38" s="5"/>
    </row>
    <row r="39" spans="1:11" x14ac:dyDescent="0.2">
      <c r="A39" s="4" t="s">
        <v>514</v>
      </c>
      <c r="B39" s="5" t="s">
        <v>496</v>
      </c>
      <c r="C39" s="5" t="s">
        <v>496</v>
      </c>
      <c r="D39" s="5">
        <v>28.074999999999999</v>
      </c>
      <c r="E39" s="5">
        <v>82.950999999999993</v>
      </c>
      <c r="F39" s="5">
        <v>264.04399999999998</v>
      </c>
      <c r="G39" s="5">
        <v>399.55200000000002</v>
      </c>
      <c r="H39" s="5">
        <v>545.47</v>
      </c>
      <c r="I39" s="5">
        <v>697.27300000000002</v>
      </c>
      <c r="J39" s="5">
        <v>804.55605823523399</v>
      </c>
      <c r="K39" s="5">
        <v>910.46756650928899</v>
      </c>
    </row>
    <row r="40" spans="1:11" x14ac:dyDescent="0.2">
      <c r="A40" s="4" t="s">
        <v>515</v>
      </c>
      <c r="B40" s="5" t="s">
        <v>496</v>
      </c>
      <c r="C40" s="5" t="s">
        <v>496</v>
      </c>
      <c r="D40" s="5" t="s">
        <v>496</v>
      </c>
      <c r="E40" s="5" t="s">
        <v>496</v>
      </c>
      <c r="F40" s="5">
        <v>48.2</v>
      </c>
      <c r="G40" s="5">
        <v>54.7</v>
      </c>
      <c r="H40" s="5">
        <v>60</v>
      </c>
      <c r="I40" s="5">
        <v>64.8</v>
      </c>
      <c r="J40" s="5">
        <v>66.109544920104696</v>
      </c>
      <c r="K40" s="5">
        <v>66.330977756691695</v>
      </c>
    </row>
    <row r="41" spans="1:11" x14ac:dyDescent="0.2">
      <c r="A41" s="4" t="s">
        <v>516</v>
      </c>
      <c r="B41" s="5" t="s">
        <v>496</v>
      </c>
      <c r="C41" s="5" t="s">
        <v>496</v>
      </c>
      <c r="D41" s="5" t="s">
        <v>496</v>
      </c>
      <c r="E41" s="5" t="s">
        <v>496</v>
      </c>
      <c r="F41" s="5">
        <v>159.43199999999999</v>
      </c>
      <c r="G41" s="5">
        <v>271.03500000000003</v>
      </c>
      <c r="H41" s="5">
        <v>390.52199999999999</v>
      </c>
      <c r="I41" s="5">
        <v>505.63099999999997</v>
      </c>
      <c r="J41" s="5">
        <v>564.82154326275202</v>
      </c>
      <c r="K41" s="5">
        <v>639.09222173986302</v>
      </c>
    </row>
    <row r="42" spans="1:11" x14ac:dyDescent="0.2">
      <c r="A42" s="4" t="s">
        <v>517</v>
      </c>
      <c r="B42" s="5" t="s">
        <v>496</v>
      </c>
      <c r="C42" s="5" t="s">
        <v>496</v>
      </c>
      <c r="D42" s="5" t="s">
        <v>496</v>
      </c>
      <c r="E42" s="5" t="s">
        <v>496</v>
      </c>
      <c r="F42" s="5">
        <v>104.61199999999999</v>
      </c>
      <c r="G42" s="5">
        <v>128.517</v>
      </c>
      <c r="H42" s="5">
        <v>154.94800000000001</v>
      </c>
      <c r="I42" s="5">
        <v>191.642</v>
      </c>
      <c r="J42" s="5">
        <v>234.026462971722</v>
      </c>
      <c r="K42" s="5">
        <v>262.96240621172501</v>
      </c>
    </row>
    <row r="43" spans="1:11" x14ac:dyDescent="0.2">
      <c r="A43" s="4" t="s">
        <v>498</v>
      </c>
      <c r="B43" s="5"/>
      <c r="C43" s="5"/>
      <c r="D43" s="5"/>
      <c r="E43" s="5"/>
      <c r="F43" s="5"/>
      <c r="G43" s="5"/>
      <c r="H43" s="5"/>
      <c r="I43" s="5"/>
      <c r="J43" s="5"/>
      <c r="K43" s="5"/>
    </row>
    <row r="44" spans="1:11" x14ac:dyDescent="0.2">
      <c r="A44" s="4" t="s">
        <v>519</v>
      </c>
      <c r="B44" s="5"/>
      <c r="C44" s="5"/>
      <c r="D44" s="5"/>
      <c r="E44" s="5"/>
      <c r="F44" s="5"/>
      <c r="G44" s="5"/>
      <c r="H44" s="5"/>
      <c r="I44" s="5"/>
      <c r="J44" s="5"/>
      <c r="K44" s="5"/>
    </row>
    <row r="45" spans="1:11" x14ac:dyDescent="0.2">
      <c r="A45" s="4" t="s">
        <v>514</v>
      </c>
      <c r="B45" s="5">
        <v>5.9349999999999996</v>
      </c>
      <c r="C45" s="5">
        <v>8.8010000000000002</v>
      </c>
      <c r="D45" s="5">
        <v>13.766</v>
      </c>
      <c r="E45" s="5">
        <v>19.454000000000001</v>
      </c>
      <c r="F45" s="5">
        <v>35.898000000000003</v>
      </c>
      <c r="G45" s="5">
        <v>32.191000000000003</v>
      </c>
      <c r="H45" s="5">
        <v>41.8</v>
      </c>
      <c r="I45" s="5">
        <v>34.780999999999999</v>
      </c>
      <c r="J45" s="5">
        <v>37.370747058527002</v>
      </c>
      <c r="K45" s="5">
        <v>36.4340733766076</v>
      </c>
    </row>
    <row r="46" spans="1:11" x14ac:dyDescent="0.2">
      <c r="A46" s="4" t="s">
        <v>515</v>
      </c>
      <c r="B46" s="5" t="s">
        <v>496</v>
      </c>
      <c r="C46" s="5" t="s">
        <v>496</v>
      </c>
      <c r="D46" s="5">
        <v>11.4</v>
      </c>
      <c r="E46" s="5">
        <v>8.8000000000000007</v>
      </c>
      <c r="F46" s="5">
        <v>6.5</v>
      </c>
      <c r="G46" s="5">
        <v>4.4000000000000004</v>
      </c>
      <c r="H46" s="5">
        <v>4.5999999999999996</v>
      </c>
      <c r="I46" s="5">
        <v>3.2</v>
      </c>
      <c r="J46" s="5">
        <v>3.07322689759568</v>
      </c>
      <c r="K46" s="5">
        <v>2.7827587912121299</v>
      </c>
    </row>
    <row r="47" spans="1:11" x14ac:dyDescent="0.2">
      <c r="A47" s="4" t="s">
        <v>516</v>
      </c>
      <c r="B47" s="5">
        <v>5.2850000000000001</v>
      </c>
      <c r="C47" s="5">
        <v>7.8209999999999997</v>
      </c>
      <c r="D47" s="5">
        <v>11.217000000000001</v>
      </c>
      <c r="E47" s="5">
        <v>18.905999999999999</v>
      </c>
      <c r="F47" s="5">
        <v>45.575000000000003</v>
      </c>
      <c r="G47" s="5">
        <v>47.445999999999998</v>
      </c>
      <c r="H47" s="5">
        <v>55.912999999999997</v>
      </c>
      <c r="I47" s="5">
        <v>50.237000000000002</v>
      </c>
      <c r="J47" s="5">
        <v>56.521381337380497</v>
      </c>
      <c r="K47" s="5">
        <v>53.447087010930701</v>
      </c>
    </row>
    <row r="48" spans="1:11" x14ac:dyDescent="0.2">
      <c r="A48" s="4" t="s">
        <v>517</v>
      </c>
      <c r="B48" s="5">
        <v>0.65</v>
      </c>
      <c r="C48" s="5">
        <v>0.98</v>
      </c>
      <c r="D48" s="5">
        <v>2.5489999999999999</v>
      </c>
      <c r="E48" s="5">
        <v>0.54800000000000004</v>
      </c>
      <c r="F48" s="5">
        <v>-9.6769999999999996</v>
      </c>
      <c r="G48" s="5">
        <v>-15.255000000000001</v>
      </c>
      <c r="H48" s="5">
        <v>-14.113</v>
      </c>
      <c r="I48" s="5">
        <v>-15.456</v>
      </c>
      <c r="J48" s="5">
        <v>-18.363151746978399</v>
      </c>
      <c r="K48" s="5">
        <v>-15.5911633132181</v>
      </c>
    </row>
    <row r="49" spans="1:11" x14ac:dyDescent="0.2">
      <c r="A49" s="4" t="s">
        <v>498</v>
      </c>
      <c r="B49" s="5"/>
      <c r="C49" s="5"/>
      <c r="D49" s="5"/>
      <c r="E49" s="5"/>
      <c r="F49" s="5"/>
      <c r="G49" s="5"/>
      <c r="H49" s="5"/>
      <c r="I49" s="5"/>
      <c r="J49" s="5"/>
      <c r="K49" s="5"/>
    </row>
    <row r="50" spans="1:11" x14ac:dyDescent="0.2">
      <c r="A50" s="4" t="s">
        <v>520</v>
      </c>
      <c r="B50" s="5"/>
      <c r="C50" s="5"/>
      <c r="D50" s="5"/>
      <c r="E50" s="5"/>
      <c r="F50" s="5"/>
      <c r="G50" s="5"/>
      <c r="H50" s="5"/>
      <c r="I50" s="5"/>
      <c r="J50" s="5"/>
      <c r="K50" s="5"/>
    </row>
    <row r="51" spans="1:11" x14ac:dyDescent="0.2">
      <c r="A51" s="4" t="s">
        <v>521</v>
      </c>
      <c r="B51" s="5"/>
      <c r="C51" s="5"/>
      <c r="D51" s="5"/>
      <c r="E51" s="5"/>
      <c r="F51" s="5"/>
      <c r="G51" s="5"/>
      <c r="H51" s="5"/>
      <c r="I51" s="5"/>
      <c r="J51" s="5"/>
      <c r="K51" s="5"/>
    </row>
    <row r="52" spans="1:11" x14ac:dyDescent="0.2">
      <c r="A52" s="4" t="s">
        <v>514</v>
      </c>
      <c r="B52" s="5">
        <v>51.143999999999998</v>
      </c>
      <c r="C52" s="5">
        <v>68.650000000000006</v>
      </c>
      <c r="D52" s="5">
        <v>106.871</v>
      </c>
      <c r="E52" s="5" t="s">
        <v>496</v>
      </c>
      <c r="F52" s="5" t="s">
        <v>496</v>
      </c>
      <c r="G52" s="5" t="s">
        <v>496</v>
      </c>
      <c r="H52" s="5" t="s">
        <v>496</v>
      </c>
      <c r="I52" s="5" t="s">
        <v>496</v>
      </c>
      <c r="J52" s="5">
        <v>1179.04669509003</v>
      </c>
      <c r="K52" s="5">
        <v>1328.23077304351</v>
      </c>
    </row>
    <row r="53" spans="1:11" x14ac:dyDescent="0.2">
      <c r="A53" s="4" t="s">
        <v>516</v>
      </c>
      <c r="B53" s="5">
        <v>12.194000000000001</v>
      </c>
      <c r="C53" s="5">
        <v>15.752000000000001</v>
      </c>
      <c r="D53" s="5">
        <v>31.981999999999999</v>
      </c>
      <c r="E53" s="5" t="s">
        <v>496</v>
      </c>
      <c r="F53" s="5" t="s">
        <v>496</v>
      </c>
      <c r="G53" s="5" t="s">
        <v>496</v>
      </c>
      <c r="H53" s="5" t="s">
        <v>496</v>
      </c>
      <c r="I53" s="5" t="s">
        <v>496</v>
      </c>
      <c r="J53" s="5">
        <v>635.697207082256</v>
      </c>
      <c r="K53" s="5">
        <v>727.88550147480601</v>
      </c>
    </row>
    <row r="54" spans="1:11" x14ac:dyDescent="0.2">
      <c r="A54" s="4" t="s">
        <v>517</v>
      </c>
      <c r="B54" s="5">
        <v>38.950000000000003</v>
      </c>
      <c r="C54" s="5">
        <v>52.898000000000003</v>
      </c>
      <c r="D54" s="5">
        <v>74.888999999999996</v>
      </c>
      <c r="E54" s="5" t="s">
        <v>496</v>
      </c>
      <c r="F54" s="5" t="s">
        <v>496</v>
      </c>
      <c r="G54" s="5" t="s">
        <v>496</v>
      </c>
      <c r="H54" s="5" t="s">
        <v>496</v>
      </c>
      <c r="I54" s="5" t="s">
        <v>496</v>
      </c>
      <c r="J54" s="5" t="s">
        <v>496</v>
      </c>
      <c r="K54" s="5" t="s">
        <v>496</v>
      </c>
    </row>
    <row r="55" spans="1:11" x14ac:dyDescent="0.2">
      <c r="A55" s="4" t="s">
        <v>498</v>
      </c>
      <c r="B55" s="5"/>
      <c r="C55" s="5"/>
      <c r="D55" s="5"/>
      <c r="E55" s="5"/>
      <c r="F55" s="5"/>
      <c r="G55" s="5"/>
      <c r="H55" s="5"/>
      <c r="I55" s="5"/>
      <c r="J55" s="5"/>
      <c r="K55" s="5"/>
    </row>
    <row r="56" spans="1:11" x14ac:dyDescent="0.2">
      <c r="A56" s="4" t="s">
        <v>522</v>
      </c>
      <c r="B56" s="5"/>
      <c r="C56" s="5"/>
      <c r="D56" s="5"/>
      <c r="E56" s="5"/>
      <c r="F56" s="5"/>
      <c r="G56" s="5"/>
      <c r="H56" s="5"/>
      <c r="I56" s="5"/>
      <c r="J56" s="5"/>
      <c r="K56" s="5"/>
    </row>
    <row r="57" spans="1:11" x14ac:dyDescent="0.2">
      <c r="A57" s="4" t="s">
        <v>523</v>
      </c>
      <c r="B57" s="5" t="s">
        <v>496</v>
      </c>
      <c r="C57" s="5">
        <v>77.450999999999993</v>
      </c>
      <c r="D57" s="5">
        <v>120.637</v>
      </c>
      <c r="E57" s="5">
        <v>221.72800000000001</v>
      </c>
      <c r="F57" s="5">
        <v>548.37199999999996</v>
      </c>
      <c r="G57" s="5">
        <v>730.50599999999997</v>
      </c>
      <c r="H57" s="5">
        <v>909.27</v>
      </c>
      <c r="I57" s="5">
        <v>1076.826</v>
      </c>
      <c r="J57" s="5">
        <v>1216.7</v>
      </c>
      <c r="K57" s="5">
        <v>1362.25</v>
      </c>
    </row>
    <row r="58" spans="1:11" x14ac:dyDescent="0.2">
      <c r="A58" s="4" t="s">
        <v>498</v>
      </c>
      <c r="B58" s="5"/>
      <c r="C58" s="5"/>
      <c r="D58" s="5"/>
      <c r="E58" s="5"/>
      <c r="F58" s="5"/>
      <c r="G58" s="5"/>
      <c r="H58" s="5"/>
      <c r="I58" s="5"/>
      <c r="J58" s="5"/>
      <c r="K58" s="5"/>
    </row>
    <row r="59" spans="1:11" x14ac:dyDescent="0.2">
      <c r="A59" s="4" t="s">
        <v>524</v>
      </c>
      <c r="B59" s="5">
        <v>17.478999999999999</v>
      </c>
      <c r="C59" s="5">
        <v>23.573</v>
      </c>
      <c r="D59" s="5">
        <v>39.667999999999999</v>
      </c>
      <c r="E59" s="5">
        <v>94.427000000000007</v>
      </c>
      <c r="F59" s="5">
        <v>277.19900000000001</v>
      </c>
      <c r="G59" s="5">
        <v>398.54500000000002</v>
      </c>
      <c r="H59" s="5">
        <v>524.02</v>
      </c>
      <c r="I59" s="5">
        <v>626.62099999999998</v>
      </c>
      <c r="J59" s="5">
        <v>692.22189157033802</v>
      </c>
      <c r="K59" s="5">
        <v>770.39899367636201</v>
      </c>
    </row>
    <row r="60" spans="1:11" x14ac:dyDescent="0.2">
      <c r="A60" s="4" t="s">
        <v>525</v>
      </c>
      <c r="B60" s="5">
        <v>39.6</v>
      </c>
      <c r="C60" s="5">
        <v>53.878</v>
      </c>
      <c r="D60" s="5">
        <v>80.968999999999994</v>
      </c>
      <c r="E60" s="5">
        <v>127.301</v>
      </c>
      <c r="F60" s="5">
        <v>271.173</v>
      </c>
      <c r="G60" s="5">
        <v>331.96100000000001</v>
      </c>
      <c r="H60" s="5">
        <v>385.25</v>
      </c>
      <c r="I60" s="5">
        <v>450.20499999999998</v>
      </c>
      <c r="J60" s="5">
        <v>524.18730989295102</v>
      </c>
      <c r="K60" s="5">
        <v>593.30289520040299</v>
      </c>
    </row>
    <row r="61" spans="1:11" x14ac:dyDescent="0.2">
      <c r="A61" s="4" t="s">
        <v>526</v>
      </c>
      <c r="B61" s="5">
        <v>69.377529389092302</v>
      </c>
      <c r="C61" s="5">
        <v>69.563982388865199</v>
      </c>
      <c r="D61" s="5">
        <v>67.117882573339898</v>
      </c>
      <c r="E61" s="5">
        <v>57.413136816279398</v>
      </c>
      <c r="F61" s="5">
        <v>49.450555462350401</v>
      </c>
      <c r="G61" s="5">
        <v>45.442611012093003</v>
      </c>
      <c r="H61" s="5">
        <v>42.369153276804496</v>
      </c>
      <c r="I61" s="5">
        <v>41.808518739332101</v>
      </c>
      <c r="J61" s="5">
        <v>43.106789751868</v>
      </c>
      <c r="K61" s="5">
        <v>43.359375163026499</v>
      </c>
    </row>
    <row r="62" spans="1:11" x14ac:dyDescent="0.2">
      <c r="A62" s="4" t="s">
        <v>498</v>
      </c>
      <c r="B62" s="5"/>
      <c r="C62" s="5"/>
      <c r="D62" s="5"/>
      <c r="E62" s="5"/>
      <c r="F62" s="5"/>
      <c r="G62" s="5"/>
      <c r="H62" s="5"/>
      <c r="I62" s="5"/>
      <c r="J62" s="5"/>
      <c r="K62" s="5"/>
    </row>
    <row r="63" spans="1:11" x14ac:dyDescent="0.2">
      <c r="A63" s="4" t="s">
        <v>527</v>
      </c>
      <c r="B63" s="5">
        <v>61.808999999999997</v>
      </c>
      <c r="C63" s="5">
        <v>76.106999999999999</v>
      </c>
      <c r="D63" s="5">
        <v>139.77099999999999</v>
      </c>
      <c r="E63" s="5">
        <v>254.92</v>
      </c>
      <c r="F63" s="5">
        <v>588.904</v>
      </c>
      <c r="G63" s="5">
        <v>1431.2</v>
      </c>
      <c r="H63" s="5">
        <v>587.38699999999994</v>
      </c>
      <c r="I63" s="5">
        <v>1145.6179999999999</v>
      </c>
      <c r="J63" s="5">
        <v>656.354318368951</v>
      </c>
      <c r="K63" s="5">
        <v>676.23442461837703</v>
      </c>
    </row>
    <row r="64" spans="1:11" x14ac:dyDescent="0.2">
      <c r="A64" s="4" t="s">
        <v>528</v>
      </c>
      <c r="B64" s="5"/>
      <c r="C64" s="5"/>
      <c r="D64" s="5"/>
      <c r="E64" s="5"/>
      <c r="F64" s="5"/>
      <c r="G64" s="5"/>
      <c r="H64" s="5"/>
      <c r="I64" s="5"/>
      <c r="J64" s="5"/>
      <c r="K64" s="5"/>
    </row>
    <row r="65" spans="1:11" x14ac:dyDescent="0.2">
      <c r="A65" s="4" t="s">
        <v>529</v>
      </c>
      <c r="B65" s="5">
        <v>33.228000000000002</v>
      </c>
      <c r="C65" s="5">
        <v>39.042999999999999</v>
      </c>
      <c r="D65" s="5">
        <v>61.122</v>
      </c>
      <c r="E65" s="5">
        <v>97.048000000000002</v>
      </c>
      <c r="F65" s="5">
        <v>216.65899999999999</v>
      </c>
      <c r="G65" s="5">
        <v>250.37100000000001</v>
      </c>
      <c r="H65" s="5">
        <v>234.29</v>
      </c>
      <c r="I65" s="5">
        <v>234.84399999999999</v>
      </c>
      <c r="J65" s="5">
        <v>272.10633575486702</v>
      </c>
      <c r="K65" s="5">
        <v>295.28941841921898</v>
      </c>
    </row>
    <row r="66" spans="1:11" x14ac:dyDescent="0.2">
      <c r="A66" s="4" t="s">
        <v>530</v>
      </c>
      <c r="B66" s="5">
        <v>9.2249999999999996</v>
      </c>
      <c r="C66" s="5">
        <v>13.79</v>
      </c>
      <c r="D66" s="5">
        <v>21.344999999999999</v>
      </c>
      <c r="E66" s="5">
        <v>53.034999999999997</v>
      </c>
      <c r="F66" s="5">
        <v>95.253</v>
      </c>
      <c r="G66" s="5">
        <v>105.93899999999999</v>
      </c>
      <c r="H66" s="5">
        <v>103.742</v>
      </c>
      <c r="I66" s="5">
        <v>115.139</v>
      </c>
      <c r="J66" s="5">
        <v>116.56092930249601</v>
      </c>
      <c r="K66" s="5">
        <v>115.078601974696</v>
      </c>
    </row>
    <row r="67" spans="1:11" x14ac:dyDescent="0.2">
      <c r="A67" s="4" t="s">
        <v>531</v>
      </c>
      <c r="B67" s="5">
        <v>13.295</v>
      </c>
      <c r="C67" s="5">
        <v>18.283000000000001</v>
      </c>
      <c r="D67" s="5">
        <v>32.75</v>
      </c>
      <c r="E67" s="5">
        <v>54.786999999999999</v>
      </c>
      <c r="F67" s="5">
        <v>121.15</v>
      </c>
      <c r="G67" s="5">
        <v>140.44200000000001</v>
      </c>
      <c r="H67" s="5">
        <v>129.416</v>
      </c>
      <c r="I67" s="5">
        <v>120.33499999999999</v>
      </c>
      <c r="J67" s="5">
        <v>132.71874802998599</v>
      </c>
      <c r="K67" s="5">
        <v>147.677957262473</v>
      </c>
    </row>
    <row r="68" spans="1:11" x14ac:dyDescent="0.2">
      <c r="A68" s="4" t="s">
        <v>532</v>
      </c>
      <c r="B68" s="5" t="s">
        <v>496</v>
      </c>
      <c r="C68" s="5" t="s">
        <v>496</v>
      </c>
      <c r="D68" s="5">
        <v>0</v>
      </c>
      <c r="E68" s="5">
        <v>1.76</v>
      </c>
      <c r="F68" s="5">
        <v>0.80300000000000005</v>
      </c>
      <c r="G68" s="5">
        <v>28.683</v>
      </c>
      <c r="H68" s="5">
        <v>7.2060000000000004</v>
      </c>
      <c r="I68" s="5">
        <v>17.503</v>
      </c>
      <c r="J68" s="5">
        <v>2.4377499999999999</v>
      </c>
      <c r="K68" s="5">
        <v>0</v>
      </c>
    </row>
    <row r="69" spans="1:11" x14ac:dyDescent="0.2">
      <c r="A69" s="4" t="s">
        <v>533</v>
      </c>
      <c r="B69" s="5">
        <v>0.94199999999999995</v>
      </c>
      <c r="C69" s="5">
        <v>0.45400000000000001</v>
      </c>
      <c r="D69" s="5">
        <v>11.087</v>
      </c>
      <c r="E69" s="5">
        <v>11.807</v>
      </c>
      <c r="F69" s="5">
        <v>50.491</v>
      </c>
      <c r="G69" s="5">
        <v>41.792000000000002</v>
      </c>
      <c r="H69" s="5">
        <v>3.105</v>
      </c>
      <c r="I69" s="5">
        <v>0.36599999999999999</v>
      </c>
      <c r="J69" s="5">
        <v>0.29480000000000001</v>
      </c>
      <c r="K69" s="5">
        <v>0.25</v>
      </c>
    </row>
    <row r="70" spans="1:11" x14ac:dyDescent="0.2">
      <c r="A70" s="4" t="s">
        <v>534</v>
      </c>
      <c r="B70" s="5">
        <v>-0.28699999999999998</v>
      </c>
      <c r="C70" s="5">
        <v>0.98699999999999999</v>
      </c>
      <c r="D70" s="5">
        <v>-0.39500000000000002</v>
      </c>
      <c r="E70" s="5">
        <v>2.0979999999999999</v>
      </c>
      <c r="F70" s="5">
        <v>0.61099999999999999</v>
      </c>
      <c r="G70" s="5">
        <v>-0.19900000000000001</v>
      </c>
      <c r="H70" s="5">
        <v>0.88200000000000001</v>
      </c>
      <c r="I70" s="5">
        <v>0.59399999999999997</v>
      </c>
      <c r="J70" s="5">
        <v>-2.6063333333333301</v>
      </c>
      <c r="K70" s="5">
        <v>0</v>
      </c>
    </row>
    <row r="71" spans="1:11" x14ac:dyDescent="0.2">
      <c r="A71" s="4" t="s">
        <v>535</v>
      </c>
      <c r="B71" s="5">
        <v>5.1189999999999998</v>
      </c>
      <c r="C71" s="5">
        <v>4.5369999999999999</v>
      </c>
      <c r="D71" s="5">
        <v>13.467000000000001</v>
      </c>
      <c r="E71" s="5">
        <v>36.482999999999997</v>
      </c>
      <c r="F71" s="5">
        <v>104.548</v>
      </c>
      <c r="G71" s="5">
        <v>115.261</v>
      </c>
      <c r="H71" s="5">
        <v>109.628</v>
      </c>
      <c r="I71" s="5">
        <v>100.991</v>
      </c>
      <c r="J71" s="5">
        <v>138.96998589995101</v>
      </c>
      <c r="K71" s="5">
        <v>124.869442256084</v>
      </c>
    </row>
    <row r="72" spans="1:11" x14ac:dyDescent="0.2">
      <c r="A72" s="4" t="s">
        <v>536</v>
      </c>
      <c r="B72" s="5">
        <v>1.1879999999999999</v>
      </c>
      <c r="C72" s="5">
        <v>1.389</v>
      </c>
      <c r="D72" s="5">
        <v>4.2409999999999997</v>
      </c>
      <c r="E72" s="5">
        <v>6.3550000000000004</v>
      </c>
      <c r="F72" s="5">
        <v>12.736000000000001</v>
      </c>
      <c r="G72" s="5">
        <v>13.715</v>
      </c>
      <c r="H72" s="5">
        <v>14.58</v>
      </c>
      <c r="I72" s="5">
        <v>12.558999999999999</v>
      </c>
      <c r="J72" s="5">
        <v>12.421817994451599</v>
      </c>
      <c r="K72" s="5">
        <v>14.346367590926</v>
      </c>
    </row>
    <row r="73" spans="1:11" x14ac:dyDescent="0.2">
      <c r="A73" s="4" t="s">
        <v>537</v>
      </c>
      <c r="B73" s="5">
        <v>1.1879999999999999</v>
      </c>
      <c r="C73" s="5">
        <v>1.389</v>
      </c>
      <c r="D73" s="5">
        <v>1.7490000000000001</v>
      </c>
      <c r="E73" s="5">
        <v>2.4790000000000001</v>
      </c>
      <c r="F73" s="5">
        <v>4.9930000000000003</v>
      </c>
      <c r="G73" s="5">
        <v>5.4710000000000001</v>
      </c>
      <c r="H73" s="5">
        <v>6.6340000000000003</v>
      </c>
      <c r="I73" s="5">
        <v>7.3390000000000004</v>
      </c>
      <c r="J73" s="5">
        <v>7.6013174775038701</v>
      </c>
      <c r="K73" s="5">
        <v>10.569129892725</v>
      </c>
    </row>
    <row r="74" spans="1:11" x14ac:dyDescent="0.2">
      <c r="A74" s="4" t="s">
        <v>538</v>
      </c>
      <c r="B74" s="5" t="s">
        <v>496</v>
      </c>
      <c r="C74" s="5" t="s">
        <v>496</v>
      </c>
      <c r="D74" s="5">
        <v>2.492</v>
      </c>
      <c r="E74" s="5">
        <v>3.8759999999999999</v>
      </c>
      <c r="F74" s="5">
        <v>7.7430000000000003</v>
      </c>
      <c r="G74" s="5">
        <v>8.2439999999999998</v>
      </c>
      <c r="H74" s="5">
        <v>7.9459999999999997</v>
      </c>
      <c r="I74" s="5">
        <v>5.22</v>
      </c>
      <c r="J74" s="5">
        <v>4.4696611613766297</v>
      </c>
      <c r="K74" s="5">
        <v>8.0674715297548705</v>
      </c>
    </row>
    <row r="75" spans="1:11" x14ac:dyDescent="0.2">
      <c r="A75" s="4" t="s">
        <v>539</v>
      </c>
      <c r="B75" s="5">
        <v>3.931</v>
      </c>
      <c r="C75" s="5">
        <v>3.1480000000000001</v>
      </c>
      <c r="D75" s="5">
        <v>9.2260000000000009</v>
      </c>
      <c r="E75" s="5">
        <v>30.128</v>
      </c>
      <c r="F75" s="5">
        <v>91.811999999999998</v>
      </c>
      <c r="G75" s="5">
        <v>101.54600000000001</v>
      </c>
      <c r="H75" s="5">
        <v>95.048000000000002</v>
      </c>
      <c r="I75" s="5">
        <v>88.432000000000002</v>
      </c>
      <c r="J75" s="5">
        <v>118.886041177194</v>
      </c>
      <c r="K75" s="5">
        <v>95.827478734461494</v>
      </c>
    </row>
    <row r="76" spans="1:11" x14ac:dyDescent="0.2">
      <c r="A76" s="4" t="s">
        <v>498</v>
      </c>
      <c r="B76" s="5"/>
      <c r="C76" s="5"/>
      <c r="D76" s="5"/>
      <c r="E76" s="5"/>
      <c r="F76" s="5"/>
      <c r="G76" s="5"/>
      <c r="H76" s="5"/>
      <c r="I76" s="5"/>
      <c r="J76" s="5"/>
      <c r="K76" s="5"/>
    </row>
    <row r="77" spans="1:11" x14ac:dyDescent="0.2">
      <c r="A77" s="4" t="s">
        <v>540</v>
      </c>
      <c r="B77" s="5" t="s">
        <v>496</v>
      </c>
      <c r="C77" s="5">
        <v>-23.216000000000001</v>
      </c>
      <c r="D77" s="5">
        <v>-58.406999999999996</v>
      </c>
      <c r="E77" s="5">
        <v>-57.682000000000002</v>
      </c>
      <c r="F77" s="5">
        <v>-318.34199999999998</v>
      </c>
      <c r="G77" s="5">
        <v>-1099.04</v>
      </c>
      <c r="H77" s="5">
        <v>-203.01900000000001</v>
      </c>
      <c r="I77" s="5">
        <v>-696.00699999999995</v>
      </c>
      <c r="J77" s="5">
        <v>-108.8</v>
      </c>
      <c r="K77" s="5">
        <v>-55.6</v>
      </c>
    </row>
    <row r="78" spans="1:11" x14ac:dyDescent="0.2">
      <c r="A78" s="4" t="s">
        <v>498</v>
      </c>
      <c r="B78" s="5"/>
      <c r="C78" s="5"/>
      <c r="D78" s="5"/>
      <c r="E78" s="5"/>
      <c r="F78" s="5"/>
      <c r="G78" s="5"/>
      <c r="H78" s="5"/>
      <c r="I78" s="5"/>
      <c r="J78" s="5"/>
      <c r="K78" s="5"/>
    </row>
    <row r="79" spans="1:11" x14ac:dyDescent="0.2">
      <c r="A79" s="4" t="s">
        <v>541</v>
      </c>
      <c r="B79" s="5" t="s">
        <v>496</v>
      </c>
      <c r="C79" s="5">
        <v>0.18099999999999999</v>
      </c>
      <c r="D79" s="5">
        <v>1.766</v>
      </c>
      <c r="E79" s="5" t="s">
        <v>496</v>
      </c>
      <c r="F79" s="5" t="s">
        <v>496</v>
      </c>
      <c r="G79" s="5" t="s">
        <v>496</v>
      </c>
      <c r="H79" s="5" t="s">
        <v>496</v>
      </c>
      <c r="I79" s="5" t="s">
        <v>496</v>
      </c>
      <c r="J79" s="5">
        <v>6.4731744344253004</v>
      </c>
      <c r="K79" s="5">
        <v>13.5994394016196</v>
      </c>
    </row>
    <row r="80" spans="1:11" x14ac:dyDescent="0.2">
      <c r="A80" s="4" t="s">
        <v>542</v>
      </c>
      <c r="B80" s="5" t="s">
        <v>496</v>
      </c>
      <c r="C80" s="5">
        <v>-214.25399999999999</v>
      </c>
      <c r="D80" s="5">
        <v>-56.640999999999998</v>
      </c>
      <c r="E80" s="5">
        <v>-116.69499999999999</v>
      </c>
      <c r="F80" s="5">
        <v>-315.35399999999998</v>
      </c>
      <c r="G80" s="5">
        <v>-1074.2280000000001</v>
      </c>
      <c r="H80" s="5">
        <v>-160.488</v>
      </c>
      <c r="I80" s="5">
        <v>-659.50900000000001</v>
      </c>
      <c r="J80" s="5">
        <v>-118.142857142857</v>
      </c>
      <c r="K80" s="5">
        <v>-47.840666666666699</v>
      </c>
    </row>
    <row r="81" spans="1:11" x14ac:dyDescent="0.2">
      <c r="A81" s="4" t="s">
        <v>498</v>
      </c>
      <c r="B81" s="5"/>
      <c r="C81" s="5"/>
      <c r="D81" s="5"/>
      <c r="E81" s="5"/>
      <c r="F81" s="5"/>
      <c r="G81" s="5"/>
      <c r="H81" s="5"/>
      <c r="I81" s="5"/>
      <c r="J81" s="5"/>
      <c r="K81" s="5"/>
    </row>
    <row r="82" spans="1:11" x14ac:dyDescent="0.2">
      <c r="A82" s="4" t="s">
        <v>543</v>
      </c>
      <c r="B82" s="5">
        <v>14.246</v>
      </c>
      <c r="C82" s="5">
        <v>-30.728999999999999</v>
      </c>
      <c r="D82" s="5">
        <v>-3.11</v>
      </c>
      <c r="E82" s="5">
        <v>-5.7919999999999998</v>
      </c>
      <c r="F82" s="5">
        <v>-26.920999999999999</v>
      </c>
      <c r="G82" s="5">
        <v>-4.2190000000000003</v>
      </c>
      <c r="H82" s="5">
        <v>3.476</v>
      </c>
      <c r="I82" s="5">
        <v>7.6870000000000003</v>
      </c>
      <c r="J82" s="5">
        <v>2.02525679696413</v>
      </c>
      <c r="K82" s="5">
        <v>-1.8730470472958001</v>
      </c>
    </row>
    <row r="83" spans="1:11" x14ac:dyDescent="0.2">
      <c r="A83" s="4" t="s">
        <v>544</v>
      </c>
      <c r="B83" s="5">
        <v>0.113</v>
      </c>
      <c r="C83" s="5">
        <v>5.8999999999999997E-2</v>
      </c>
      <c r="D83" s="5">
        <v>4.9000000000000002E-2</v>
      </c>
      <c r="E83" s="5">
        <v>0.16600000000000001</v>
      </c>
      <c r="F83" s="5">
        <v>1.103</v>
      </c>
      <c r="G83" s="5">
        <v>2.4689999999999999</v>
      </c>
      <c r="H83" s="5">
        <v>3.7989999999999999</v>
      </c>
      <c r="I83" s="5">
        <v>7.4960000000000004</v>
      </c>
      <c r="J83" s="5">
        <v>4.1972364823536497</v>
      </c>
      <c r="K83" s="5">
        <v>3.9277990827661799</v>
      </c>
    </row>
    <row r="84" spans="1:11" x14ac:dyDescent="0.2">
      <c r="A84" s="4" t="s">
        <v>498</v>
      </c>
      <c r="B84" s="5"/>
      <c r="C84" s="5"/>
      <c r="D84" s="5"/>
      <c r="E84" s="5"/>
      <c r="F84" s="5"/>
      <c r="G84" s="5"/>
      <c r="H84" s="5"/>
      <c r="I84" s="5"/>
      <c r="J84" s="5"/>
      <c r="K84" s="5"/>
    </row>
    <row r="85" spans="1:11" x14ac:dyDescent="0.2">
      <c r="A85" s="4" t="s">
        <v>545</v>
      </c>
      <c r="B85" s="5" t="s">
        <v>496</v>
      </c>
      <c r="C85" s="5">
        <v>-183.52500000000001</v>
      </c>
      <c r="D85" s="5">
        <v>-53.530999999999999</v>
      </c>
      <c r="E85" s="5">
        <v>-124.27800000000001</v>
      </c>
      <c r="F85" s="5">
        <v>-288.43299999999999</v>
      </c>
      <c r="G85" s="5">
        <v>-1070.009</v>
      </c>
      <c r="H85" s="5">
        <v>-163.964</v>
      </c>
      <c r="I85" s="5">
        <v>-667.19600000000003</v>
      </c>
      <c r="J85" s="5">
        <v>-124.753333333333</v>
      </c>
      <c r="K85" s="5">
        <v>-62.646666666666697</v>
      </c>
    </row>
    <row r="86" spans="1:11" x14ac:dyDescent="0.2">
      <c r="A86" s="4" t="s">
        <v>546</v>
      </c>
      <c r="B86" s="5">
        <v>-168.50155048266399</v>
      </c>
      <c r="C86" s="5">
        <v>-236.956269124995</v>
      </c>
      <c r="D86" s="5">
        <v>-44.373616717922403</v>
      </c>
      <c r="E86" s="5">
        <v>-56.049754654351297</v>
      </c>
      <c r="F86" s="5">
        <v>-52.598053875836101</v>
      </c>
      <c r="G86" s="5">
        <v>-146.475046063961</v>
      </c>
      <c r="H86" s="5">
        <v>-18.032487599942801</v>
      </c>
      <c r="I86" s="5">
        <v>-61.9594994920256</v>
      </c>
      <c r="J86" s="5">
        <v>-6.4228089024591499</v>
      </c>
      <c r="K86" s="5">
        <v>-1.1897396677804</v>
      </c>
    </row>
    <row r="87" spans="1:11" x14ac:dyDescent="0.2">
      <c r="A87" s="4" t="s">
        <v>498</v>
      </c>
      <c r="B87" s="5"/>
      <c r="C87" s="5"/>
      <c r="D87" s="5"/>
      <c r="E87" s="5"/>
      <c r="F87" s="5"/>
      <c r="G87" s="5"/>
      <c r="H87" s="5"/>
      <c r="I87" s="5"/>
      <c r="J87" s="5"/>
      <c r="K87" s="5"/>
    </row>
    <row r="88" spans="1:11" x14ac:dyDescent="0.2">
      <c r="A88" s="4" t="s">
        <v>547</v>
      </c>
      <c r="B88" s="5">
        <v>116.585875</v>
      </c>
      <c r="C88" s="5">
        <v>33.203567</v>
      </c>
      <c r="D88" s="5">
        <v>85.890314000000004</v>
      </c>
      <c r="E88" s="5">
        <v>105.221907</v>
      </c>
      <c r="F88" s="5">
        <v>141.580917</v>
      </c>
      <c r="G88" s="5">
        <v>150.40413000000001</v>
      </c>
      <c r="H88" s="5">
        <v>153.765412</v>
      </c>
      <c r="I88" s="5">
        <v>153.676514</v>
      </c>
      <c r="J88" s="5">
        <v>137.67597964350699</v>
      </c>
      <c r="K88" s="5">
        <v>137.90513795941499</v>
      </c>
    </row>
    <row r="89" spans="1:11" x14ac:dyDescent="0.2">
      <c r="A89" s="4" t="s">
        <v>548</v>
      </c>
      <c r="B89" s="5">
        <v>-0.82</v>
      </c>
      <c r="C89" s="5">
        <v>-5.53</v>
      </c>
      <c r="D89" s="5">
        <v>-0.62</v>
      </c>
      <c r="E89" s="5">
        <v>-1.18</v>
      </c>
      <c r="F89" s="5">
        <v>-2.04</v>
      </c>
      <c r="G89" s="5">
        <v>-7.11</v>
      </c>
      <c r="H89" s="5">
        <v>-1.07</v>
      </c>
      <c r="I89" s="5">
        <v>-4.34</v>
      </c>
      <c r="J89" s="5">
        <v>-0.73115564290049395</v>
      </c>
      <c r="K89" s="5">
        <v>-5.7819481332150799E-2</v>
      </c>
    </row>
    <row r="90" spans="1:11" x14ac:dyDescent="0.2">
      <c r="A90" s="4" t="s">
        <v>498</v>
      </c>
      <c r="B90" s="5"/>
      <c r="C90" s="5"/>
      <c r="D90" s="5"/>
      <c r="E90" s="5"/>
      <c r="F90" s="5"/>
      <c r="G90" s="5"/>
      <c r="H90" s="5"/>
      <c r="I90" s="5"/>
      <c r="J90" s="5"/>
      <c r="K90" s="5"/>
    </row>
    <row r="91" spans="1:11" x14ac:dyDescent="0.2">
      <c r="A91" s="4" t="s">
        <v>549</v>
      </c>
      <c r="B91" s="5" t="s">
        <v>496</v>
      </c>
      <c r="C91" s="5">
        <v>-5.53</v>
      </c>
      <c r="D91" s="5">
        <v>-0.62</v>
      </c>
      <c r="E91" s="5">
        <v>-1.18</v>
      </c>
      <c r="F91" s="5">
        <v>-2.04</v>
      </c>
      <c r="G91" s="5">
        <v>-7.11</v>
      </c>
      <c r="H91" s="5">
        <v>-1.07</v>
      </c>
      <c r="I91" s="5">
        <v>-4.34</v>
      </c>
      <c r="J91" s="5">
        <v>-0.79615384615384599</v>
      </c>
      <c r="K91" s="5">
        <v>-0.39269230769230801</v>
      </c>
    </row>
    <row r="92" spans="1:11" x14ac:dyDescent="0.2">
      <c r="A92" s="4" t="s">
        <v>498</v>
      </c>
      <c r="B92" s="5"/>
      <c r="C92" s="5"/>
      <c r="D92" s="5"/>
      <c r="E92" s="5"/>
      <c r="F92" s="5"/>
      <c r="G92" s="5"/>
      <c r="H92" s="5"/>
      <c r="I92" s="5"/>
      <c r="J92" s="5"/>
      <c r="K92" s="5"/>
    </row>
    <row r="93" spans="1:11" x14ac:dyDescent="0.2">
      <c r="A93" s="4" t="s">
        <v>550</v>
      </c>
      <c r="B93" s="5">
        <v>-96.179000000000002</v>
      </c>
      <c r="C93" s="5">
        <v>-183.52500000000001</v>
      </c>
      <c r="D93" s="5">
        <v>-59.802</v>
      </c>
      <c r="E93" s="5">
        <v>-108.292</v>
      </c>
      <c r="F93" s="5">
        <v>-295.471</v>
      </c>
      <c r="G93" s="5">
        <v>-1075.7429999999999</v>
      </c>
      <c r="H93" s="5">
        <v>-164.952</v>
      </c>
      <c r="I93" s="5">
        <v>-670.61300000000006</v>
      </c>
      <c r="J93" s="5">
        <v>-112.569203460003</v>
      </c>
      <c r="K93" s="5">
        <v>-46.934186487123803</v>
      </c>
    </row>
    <row r="94" spans="1:11" x14ac:dyDescent="0.2">
      <c r="A94" s="4" t="s">
        <v>498</v>
      </c>
      <c r="B94" s="5"/>
      <c r="C94" s="5"/>
      <c r="D94" s="5"/>
      <c r="E94" s="5"/>
      <c r="F94" s="5"/>
      <c r="G94" s="5"/>
      <c r="H94" s="5"/>
      <c r="I94" s="5"/>
      <c r="J94" s="5"/>
      <c r="K94" s="5"/>
    </row>
    <row r="95" spans="1:11" x14ac:dyDescent="0.2">
      <c r="A95" s="4" t="s">
        <v>551</v>
      </c>
      <c r="B95" s="5"/>
      <c r="C95" s="5"/>
      <c r="D95" s="5"/>
      <c r="E95" s="5"/>
      <c r="F95" s="5"/>
      <c r="G95" s="5"/>
      <c r="H95" s="5"/>
      <c r="I95" s="5"/>
      <c r="J95" s="5"/>
      <c r="K95" s="5"/>
    </row>
    <row r="96" spans="1:11" x14ac:dyDescent="0.2">
      <c r="A96" s="4" t="s">
        <v>517</v>
      </c>
      <c r="B96" s="5">
        <v>39.6</v>
      </c>
      <c r="C96" s="5">
        <v>53.878</v>
      </c>
      <c r="D96" s="5">
        <v>80.968999999999994</v>
      </c>
      <c r="E96" s="5">
        <v>127.301</v>
      </c>
      <c r="F96" s="5">
        <v>271.173</v>
      </c>
      <c r="G96" s="5">
        <v>331.96100000000001</v>
      </c>
      <c r="H96" s="5">
        <v>385.25</v>
      </c>
      <c r="I96" s="5">
        <v>450.20499999999998</v>
      </c>
      <c r="J96" s="5">
        <v>524.18730989295102</v>
      </c>
      <c r="K96" s="5">
        <v>593.30289520040299</v>
      </c>
    </row>
    <row r="97" spans="1:11" x14ac:dyDescent="0.2">
      <c r="A97" s="4" t="s">
        <v>552</v>
      </c>
      <c r="B97" s="5" t="s">
        <v>496</v>
      </c>
      <c r="C97" s="5">
        <v>69.56</v>
      </c>
      <c r="D97" s="5">
        <v>64.2</v>
      </c>
      <c r="E97" s="5">
        <v>57.4</v>
      </c>
      <c r="F97" s="5">
        <v>50.6</v>
      </c>
      <c r="G97" s="5">
        <v>45.44</v>
      </c>
      <c r="H97" s="5">
        <v>42.36</v>
      </c>
      <c r="I97" s="5">
        <v>41.808518999999997</v>
      </c>
      <c r="J97" s="5">
        <v>43.014326012694397</v>
      </c>
      <c r="K97" s="5">
        <v>47.9161666572477</v>
      </c>
    </row>
    <row r="98" spans="1:11" x14ac:dyDescent="0.2">
      <c r="A98" s="4" t="s">
        <v>553</v>
      </c>
      <c r="B98" s="5" t="s">
        <v>496</v>
      </c>
      <c r="C98" s="5" t="s">
        <v>496</v>
      </c>
      <c r="D98" s="5">
        <v>29.649000000000001</v>
      </c>
      <c r="E98" s="5">
        <v>43.845999999999997</v>
      </c>
      <c r="F98" s="5">
        <v>91.444999999999993</v>
      </c>
      <c r="G98" s="5">
        <v>104.938</v>
      </c>
      <c r="H98" s="5">
        <v>104.11799999999999</v>
      </c>
      <c r="I98" s="5">
        <v>101.681</v>
      </c>
      <c r="J98" s="5">
        <v>109.91397796646299</v>
      </c>
      <c r="K98" s="5">
        <v>124.427430680924</v>
      </c>
    </row>
    <row r="99" spans="1:11" x14ac:dyDescent="0.2">
      <c r="A99" s="4" t="s">
        <v>554</v>
      </c>
      <c r="B99" s="5" t="s">
        <v>496</v>
      </c>
      <c r="C99" s="5" t="s">
        <v>496</v>
      </c>
      <c r="D99" s="5">
        <v>57.75</v>
      </c>
      <c r="E99" s="5">
        <v>76.411000000000001</v>
      </c>
      <c r="F99" s="5">
        <v>168.803</v>
      </c>
      <c r="G99" s="5">
        <v>202.38499999999999</v>
      </c>
      <c r="H99" s="5">
        <v>211.483</v>
      </c>
      <c r="I99" s="5">
        <v>218.297</v>
      </c>
      <c r="J99" s="5">
        <v>250.72088815570001</v>
      </c>
      <c r="K99" s="5">
        <v>274.07112081304598</v>
      </c>
    </row>
    <row r="100" spans="1:11" x14ac:dyDescent="0.2">
      <c r="A100" s="4" t="s">
        <v>555</v>
      </c>
      <c r="B100" s="5" t="s">
        <v>496</v>
      </c>
      <c r="C100" s="5" t="s">
        <v>496</v>
      </c>
      <c r="D100" s="5">
        <v>15.821</v>
      </c>
      <c r="E100" s="5">
        <v>31.474</v>
      </c>
      <c r="F100" s="5">
        <v>58.784999999999997</v>
      </c>
      <c r="G100" s="5">
        <v>65.463999999999999</v>
      </c>
      <c r="H100" s="5">
        <v>74.572000000000003</v>
      </c>
      <c r="I100" s="5">
        <v>79.863</v>
      </c>
      <c r="J100" s="5">
        <v>91.178793729189707</v>
      </c>
      <c r="K100" s="5">
        <v>97.094682908450906</v>
      </c>
    </row>
    <row r="101" spans="1:11" x14ac:dyDescent="0.2">
      <c r="A101" s="4" t="s">
        <v>556</v>
      </c>
      <c r="B101" s="5" t="s">
        <v>496</v>
      </c>
      <c r="C101" s="5">
        <v>-15.531000000000001</v>
      </c>
      <c r="D101" s="5">
        <v>-21.66</v>
      </c>
      <c r="E101" s="5">
        <v>-21.199000000000002</v>
      </c>
      <c r="F101" s="5">
        <v>-41.515000000000001</v>
      </c>
      <c r="G101" s="5">
        <v>-33.881</v>
      </c>
      <c r="H101" s="5">
        <v>1.2649999999999999</v>
      </c>
      <c r="I101" s="5">
        <v>53.686999999999998</v>
      </c>
      <c r="J101" s="5">
        <v>73.045000000000002</v>
      </c>
      <c r="K101" s="5">
        <v>98.625</v>
      </c>
    </row>
    <row r="102" spans="1:11" x14ac:dyDescent="0.2">
      <c r="A102" s="4" t="s">
        <v>557</v>
      </c>
      <c r="B102" s="5" t="s">
        <v>496</v>
      </c>
      <c r="C102" s="5">
        <v>-183.52500000000001</v>
      </c>
      <c r="D102" s="5">
        <v>-53.530999999999999</v>
      </c>
      <c r="E102" s="5">
        <v>-99.096000000000004</v>
      </c>
      <c r="F102" s="5">
        <v>-52.976999999999997</v>
      </c>
      <c r="G102" s="5">
        <v>-25.053999999999998</v>
      </c>
      <c r="H102" s="5">
        <v>24.535</v>
      </c>
      <c r="I102" s="5">
        <v>69.536000000000001</v>
      </c>
      <c r="J102" s="5">
        <v>64.924999999999997</v>
      </c>
      <c r="K102" s="5">
        <v>93.758333333333297</v>
      </c>
    </row>
    <row r="103" spans="1:11" x14ac:dyDescent="0.2">
      <c r="A103" s="4" t="s">
        <v>558</v>
      </c>
      <c r="B103" s="5" t="s">
        <v>496</v>
      </c>
      <c r="C103" s="5" t="s">
        <v>496</v>
      </c>
      <c r="D103" s="5" t="s">
        <v>496</v>
      </c>
      <c r="E103" s="5" t="s">
        <v>496</v>
      </c>
      <c r="F103" s="5">
        <v>-9.6607777202337104</v>
      </c>
      <c r="G103" s="5">
        <v>-3.4296775112045599</v>
      </c>
      <c r="H103" s="5">
        <v>2.69831843126904</v>
      </c>
      <c r="I103" s="5">
        <v>6.4574963828882304</v>
      </c>
      <c r="J103" s="5">
        <v>5.5116291254190202</v>
      </c>
      <c r="K103" s="5">
        <v>6.7316028133911301</v>
      </c>
    </row>
    <row r="104" spans="1:11" x14ac:dyDescent="0.2">
      <c r="A104" s="4" t="s">
        <v>559</v>
      </c>
      <c r="B104" s="5" t="s">
        <v>496</v>
      </c>
      <c r="C104" s="5">
        <v>-5.5272680000000003</v>
      </c>
      <c r="D104" s="5">
        <v>-0.62</v>
      </c>
      <c r="E104" s="5">
        <v>-1.18</v>
      </c>
      <c r="F104" s="5">
        <v>-0.37</v>
      </c>
      <c r="G104" s="5">
        <v>-0.17</v>
      </c>
      <c r="H104" s="5">
        <v>0.16</v>
      </c>
      <c r="I104" s="5">
        <v>0.45</v>
      </c>
      <c r="J104" s="5">
        <v>0.47437499999999999</v>
      </c>
      <c r="K104" s="5">
        <v>0.69437499999999996</v>
      </c>
    </row>
    <row r="105" spans="1:11" x14ac:dyDescent="0.2">
      <c r="A105" s="4" t="s">
        <v>498</v>
      </c>
      <c r="B105" s="5"/>
      <c r="C105" s="5"/>
      <c r="D105" s="5"/>
      <c r="E105" s="5"/>
      <c r="F105" s="5"/>
      <c r="G105" s="5"/>
      <c r="H105" s="5"/>
      <c r="I105" s="5"/>
      <c r="J105" s="5"/>
      <c r="K105" s="5"/>
    </row>
    <row r="106" spans="1:11" x14ac:dyDescent="0.2">
      <c r="A106" s="4" t="s">
        <v>560</v>
      </c>
      <c r="B106" s="5"/>
      <c r="C106" s="5"/>
      <c r="D106" s="5"/>
      <c r="E106" s="5"/>
      <c r="F106" s="5"/>
      <c r="G106" s="5"/>
      <c r="H106" s="5"/>
      <c r="I106" s="5"/>
      <c r="J106" s="5"/>
      <c r="K106" s="5"/>
    </row>
    <row r="107" spans="1:11" x14ac:dyDescent="0.2">
      <c r="A107" s="4" t="s">
        <v>561</v>
      </c>
      <c r="B107" s="5" t="s">
        <v>496</v>
      </c>
      <c r="C107" s="5" t="s">
        <v>496</v>
      </c>
      <c r="D107" s="5">
        <v>9.93</v>
      </c>
      <c r="E107" s="5">
        <v>44.755000000000003</v>
      </c>
      <c r="F107" s="5">
        <v>109.066</v>
      </c>
      <c r="G107" s="5">
        <v>123.667</v>
      </c>
      <c r="H107" s="5">
        <v>73.784999999999997</v>
      </c>
      <c r="I107" s="5">
        <v>56.578000000000003</v>
      </c>
      <c r="J107" s="5">
        <v>62.433266948846097</v>
      </c>
      <c r="K107" s="5">
        <v>66.229529316198096</v>
      </c>
    </row>
    <row r="108" spans="1:11" x14ac:dyDescent="0.2">
      <c r="A108" s="4" t="s">
        <v>562</v>
      </c>
      <c r="B108" s="5" t="s">
        <v>496</v>
      </c>
      <c r="C108" s="5" t="s">
        <v>496</v>
      </c>
      <c r="D108" s="5">
        <v>0.59099999999999997</v>
      </c>
      <c r="E108" s="5">
        <v>3.2309999999999999</v>
      </c>
      <c r="F108" s="5">
        <v>6.3449999999999998</v>
      </c>
      <c r="G108" s="5">
        <v>6.9450000000000003</v>
      </c>
      <c r="H108" s="5">
        <v>6.1879999999999997</v>
      </c>
      <c r="I108" s="5">
        <v>3.323</v>
      </c>
      <c r="J108" s="5">
        <v>2.3514493145419699</v>
      </c>
      <c r="K108" s="5">
        <v>2.8014791066297802</v>
      </c>
    </row>
    <row r="109" spans="1:11" x14ac:dyDescent="0.2">
      <c r="A109" s="4" t="s">
        <v>563</v>
      </c>
      <c r="B109" s="5" t="s">
        <v>496</v>
      </c>
      <c r="C109" s="5" t="s">
        <v>496</v>
      </c>
      <c r="D109" s="5">
        <v>3.101</v>
      </c>
      <c r="E109" s="5">
        <v>10.941000000000001</v>
      </c>
      <c r="F109" s="5">
        <v>29.704999999999998</v>
      </c>
      <c r="G109" s="5">
        <v>35.503999999999998</v>
      </c>
      <c r="H109" s="5">
        <v>25.297999999999998</v>
      </c>
      <c r="I109" s="5">
        <v>18.654</v>
      </c>
      <c r="J109" s="5">
        <v>23.805268928801699</v>
      </c>
      <c r="K109" s="5">
        <v>25.583481733176399</v>
      </c>
    </row>
    <row r="110" spans="1:11" x14ac:dyDescent="0.2">
      <c r="A110" s="4" t="s">
        <v>564</v>
      </c>
      <c r="B110" s="5" t="s">
        <v>496</v>
      </c>
      <c r="C110" s="5" t="s">
        <v>496</v>
      </c>
      <c r="D110" s="5">
        <v>3.0419999999999998</v>
      </c>
      <c r="E110" s="5">
        <v>19.46</v>
      </c>
      <c r="F110" s="5">
        <v>46.639000000000003</v>
      </c>
      <c r="G110" s="5">
        <v>47.255000000000003</v>
      </c>
      <c r="H110" s="5">
        <v>22.806999999999999</v>
      </c>
      <c r="I110" s="5">
        <v>16.547000000000001</v>
      </c>
      <c r="J110" s="5">
        <v>19.0133973790625</v>
      </c>
      <c r="K110" s="5">
        <v>19.997535902294501</v>
      </c>
    </row>
    <row r="111" spans="1:11" x14ac:dyDescent="0.2">
      <c r="A111" s="4" t="s">
        <v>530</v>
      </c>
      <c r="B111" s="5" t="s">
        <v>496</v>
      </c>
      <c r="C111" s="5" t="s">
        <v>496</v>
      </c>
      <c r="D111" s="5">
        <v>3.1960000000000002</v>
      </c>
      <c r="E111" s="5">
        <v>11.122999999999999</v>
      </c>
      <c r="F111" s="5">
        <v>26.376999999999999</v>
      </c>
      <c r="G111" s="5">
        <v>33.963000000000001</v>
      </c>
      <c r="H111" s="5">
        <v>19.492000000000001</v>
      </c>
      <c r="I111" s="5">
        <v>18.053999999999998</v>
      </c>
      <c r="J111" s="5">
        <v>18.730376459585202</v>
      </c>
      <c r="K111" s="5">
        <v>19.058100282530599</v>
      </c>
    </row>
    <row r="112" spans="1:11" x14ac:dyDescent="0.2">
      <c r="A112" s="4" t="s">
        <v>498</v>
      </c>
      <c r="B112" s="5"/>
      <c r="C112" s="5"/>
      <c r="D112" s="5"/>
      <c r="E112" s="5"/>
      <c r="F112" s="5"/>
      <c r="G112" s="5"/>
      <c r="H112" s="5"/>
      <c r="I112" s="5"/>
      <c r="J112" s="5"/>
      <c r="K112" s="5"/>
    </row>
    <row r="113" spans="1:11" x14ac:dyDescent="0.2">
      <c r="A113" s="4" t="s">
        <v>565</v>
      </c>
      <c r="B113" s="5"/>
      <c r="C113" s="5"/>
      <c r="D113" s="5"/>
      <c r="E113" s="5"/>
      <c r="F113" s="5"/>
      <c r="G113" s="5"/>
      <c r="H113" s="5"/>
      <c r="I113" s="5"/>
      <c r="J113" s="5"/>
      <c r="K113" s="5"/>
    </row>
    <row r="114" spans="1:11" x14ac:dyDescent="0.2">
      <c r="A114" s="4" t="s">
        <v>566</v>
      </c>
      <c r="B114" s="5"/>
      <c r="C114" s="5"/>
      <c r="D114" s="5"/>
      <c r="E114" s="5"/>
      <c r="F114" s="5"/>
      <c r="G114" s="5"/>
      <c r="H114" s="5"/>
      <c r="I114" s="5"/>
      <c r="J114" s="5"/>
      <c r="K114" s="5"/>
    </row>
    <row r="115" spans="1:11" x14ac:dyDescent="0.2">
      <c r="A115" s="4" t="s">
        <v>567</v>
      </c>
      <c r="B115" s="5">
        <v>33.813000000000002</v>
      </c>
      <c r="C115" s="5">
        <v>221.6</v>
      </c>
      <c r="D115" s="5">
        <v>233.20699999999999</v>
      </c>
      <c r="E115" s="5">
        <v>857.66499999999996</v>
      </c>
      <c r="F115" s="5">
        <v>1042.4949999999999</v>
      </c>
      <c r="G115" s="5">
        <v>934.33199999999999</v>
      </c>
      <c r="H115" s="5">
        <v>917.9</v>
      </c>
      <c r="I115" s="5">
        <v>798.02300000000002</v>
      </c>
      <c r="J115" s="5">
        <v>666.69958636672698</v>
      </c>
      <c r="K115" s="5">
        <v>729.4781878407</v>
      </c>
    </row>
    <row r="116" spans="1:11" x14ac:dyDescent="0.2">
      <c r="A116" s="4" t="s">
        <v>568</v>
      </c>
      <c r="B116" s="5">
        <v>24.651</v>
      </c>
      <c r="C116" s="5">
        <v>207.703</v>
      </c>
      <c r="D116" s="5">
        <v>210.96899999999999</v>
      </c>
      <c r="E116" s="5">
        <v>807.15</v>
      </c>
      <c r="F116" s="5">
        <v>953.654</v>
      </c>
      <c r="G116" s="5">
        <v>800.154</v>
      </c>
      <c r="H116" s="5">
        <v>722.10199999999998</v>
      </c>
      <c r="I116" s="5">
        <v>558.46900000000005</v>
      </c>
      <c r="J116" s="5">
        <v>455.64743627480198</v>
      </c>
      <c r="K116" s="5">
        <v>482.317180976288</v>
      </c>
    </row>
    <row r="117" spans="1:11" x14ac:dyDescent="0.2">
      <c r="A117" s="4" t="s">
        <v>569</v>
      </c>
      <c r="B117" s="5">
        <v>7.1239999999999997</v>
      </c>
      <c r="C117" s="5">
        <v>8.4239999999999995</v>
      </c>
      <c r="D117" s="5">
        <v>10.879</v>
      </c>
      <c r="E117" s="5">
        <v>24.771000000000001</v>
      </c>
      <c r="F117" s="5">
        <v>45.765999999999998</v>
      </c>
      <c r="G117" s="5">
        <v>84.334000000000003</v>
      </c>
      <c r="H117" s="5">
        <v>62.283999999999999</v>
      </c>
      <c r="I117" s="5">
        <v>53.076999999999998</v>
      </c>
      <c r="J117" s="5">
        <v>68.581566365819299</v>
      </c>
      <c r="K117" s="5">
        <v>81.851230322147501</v>
      </c>
    </row>
    <row r="118" spans="1:11" x14ac:dyDescent="0.2">
      <c r="A118" s="4" t="s">
        <v>570</v>
      </c>
      <c r="B118" s="5">
        <v>0.23799999999999999</v>
      </c>
      <c r="C118" s="5">
        <v>0.26900000000000002</v>
      </c>
      <c r="D118" s="5">
        <v>0.93200000000000005</v>
      </c>
      <c r="E118" s="5">
        <v>1.573</v>
      </c>
      <c r="F118" s="5">
        <v>7.54</v>
      </c>
      <c r="G118" s="5">
        <v>12.839</v>
      </c>
      <c r="H118" s="5">
        <v>16.492000000000001</v>
      </c>
      <c r="I118" s="5">
        <v>14.612</v>
      </c>
      <c r="J118" s="5">
        <v>14.0372841838941</v>
      </c>
      <c r="K118" s="5">
        <v>17.159961826111299</v>
      </c>
    </row>
    <row r="119" spans="1:11" x14ac:dyDescent="0.2">
      <c r="A119" s="4" t="s">
        <v>571</v>
      </c>
      <c r="B119" s="5" t="s">
        <v>496</v>
      </c>
      <c r="C119" s="5">
        <v>3.677</v>
      </c>
      <c r="D119" s="5" t="s">
        <v>496</v>
      </c>
      <c r="E119" s="5" t="s">
        <v>496</v>
      </c>
      <c r="F119" s="5">
        <v>35.534999999999997</v>
      </c>
      <c r="G119" s="5">
        <v>37.005000000000003</v>
      </c>
      <c r="H119" s="5">
        <v>74.236000000000004</v>
      </c>
      <c r="I119" s="5">
        <v>106.169</v>
      </c>
      <c r="J119" s="5">
        <v>122.225146354169</v>
      </c>
      <c r="K119" s="5">
        <v>143.984713196619</v>
      </c>
    </row>
    <row r="120" spans="1:11" x14ac:dyDescent="0.2">
      <c r="A120" s="4" t="s">
        <v>572</v>
      </c>
      <c r="B120" s="5">
        <v>1.8</v>
      </c>
      <c r="C120" s="5" t="s">
        <v>496</v>
      </c>
      <c r="D120" s="5">
        <v>10.427</v>
      </c>
      <c r="E120" s="5">
        <v>24.170999999999999</v>
      </c>
      <c r="F120" s="5">
        <v>35.534999999999997</v>
      </c>
      <c r="G120" s="5">
        <v>37.005000000000003</v>
      </c>
      <c r="H120" s="5">
        <v>42.786000000000001</v>
      </c>
      <c r="I120" s="5">
        <v>65.695999999999998</v>
      </c>
      <c r="J120" s="5">
        <v>80.677034831111101</v>
      </c>
      <c r="K120" s="5">
        <v>84.837310376002193</v>
      </c>
    </row>
    <row r="121" spans="1:11" x14ac:dyDescent="0.2">
      <c r="A121" s="4" t="s">
        <v>573</v>
      </c>
      <c r="B121" s="5">
        <v>30.212</v>
      </c>
      <c r="C121" s="5">
        <v>34.210999999999999</v>
      </c>
      <c r="D121" s="5">
        <v>245.221</v>
      </c>
      <c r="E121" s="5">
        <v>1247.654</v>
      </c>
      <c r="F121" s="5">
        <v>2577.4850000000001</v>
      </c>
      <c r="G121" s="5">
        <v>1734.4</v>
      </c>
      <c r="H121" s="5">
        <v>1657.2539999999999</v>
      </c>
      <c r="I121" s="5">
        <v>1028.18</v>
      </c>
      <c r="J121" s="5">
        <v>969.33589193478701</v>
      </c>
      <c r="K121" s="5">
        <v>953.81165642384997</v>
      </c>
    </row>
    <row r="122" spans="1:11" x14ac:dyDescent="0.2">
      <c r="A122" s="4" t="s">
        <v>574</v>
      </c>
      <c r="B122" s="5" t="s">
        <v>496</v>
      </c>
      <c r="C122" s="5" t="s">
        <v>496</v>
      </c>
      <c r="D122" s="5">
        <v>15.957000000000001</v>
      </c>
      <c r="E122" s="5">
        <v>21.206</v>
      </c>
      <c r="F122" s="5">
        <v>25.539000000000001</v>
      </c>
      <c r="G122" s="5">
        <v>20.972999999999999</v>
      </c>
      <c r="H122" s="5">
        <v>17.074999999999999</v>
      </c>
      <c r="I122" s="5">
        <v>12.714</v>
      </c>
      <c r="J122" s="5">
        <v>13.6465831165278</v>
      </c>
      <c r="K122" s="5">
        <v>14.3892030260309</v>
      </c>
    </row>
    <row r="123" spans="1:11" x14ac:dyDescent="0.2">
      <c r="A123" s="4" t="s">
        <v>575</v>
      </c>
      <c r="B123" s="5">
        <v>4.7309999999999999</v>
      </c>
      <c r="C123" s="5">
        <v>5.3719999999999999</v>
      </c>
      <c r="D123" s="5">
        <v>7.9889999999999999</v>
      </c>
      <c r="E123" s="5">
        <v>8.3420000000000005</v>
      </c>
      <c r="F123" s="5">
        <v>16.456</v>
      </c>
      <c r="G123" s="5">
        <v>19.491</v>
      </c>
      <c r="H123" s="5">
        <v>20.495999999999999</v>
      </c>
      <c r="I123" s="5">
        <v>17.102</v>
      </c>
      <c r="J123" s="5">
        <v>16.992906317963701</v>
      </c>
      <c r="K123" s="5">
        <v>16.5382810180066</v>
      </c>
    </row>
    <row r="124" spans="1:11" x14ac:dyDescent="0.2">
      <c r="A124" s="4" t="s">
        <v>576</v>
      </c>
      <c r="B124" s="5">
        <v>4.0869999999999997</v>
      </c>
      <c r="C124" s="5">
        <v>2.6179999999999999</v>
      </c>
      <c r="D124" s="5">
        <v>62.819000000000003</v>
      </c>
      <c r="E124" s="5">
        <v>234.49299999999999</v>
      </c>
      <c r="F124" s="5">
        <v>409.56799999999998</v>
      </c>
      <c r="G124" s="5">
        <v>311.45</v>
      </c>
      <c r="H124" s="5">
        <v>227.03100000000001</v>
      </c>
      <c r="I124" s="5">
        <v>159.542</v>
      </c>
      <c r="J124" s="5">
        <v>75.433364312158503</v>
      </c>
      <c r="K124" s="5">
        <v>18.180691536729</v>
      </c>
    </row>
    <row r="125" spans="1:11" x14ac:dyDescent="0.2">
      <c r="A125" s="4" t="s">
        <v>577</v>
      </c>
      <c r="B125" s="5">
        <v>20.404</v>
      </c>
      <c r="C125" s="5">
        <v>22.536000000000001</v>
      </c>
      <c r="D125" s="5">
        <v>146.59800000000001</v>
      </c>
      <c r="E125" s="5">
        <v>971.93899999999996</v>
      </c>
      <c r="F125" s="5">
        <v>2104.3679999999999</v>
      </c>
      <c r="G125" s="5">
        <v>1350.645</v>
      </c>
      <c r="H125" s="5">
        <v>1349.2349999999999</v>
      </c>
      <c r="I125" s="5">
        <v>797.96199999999999</v>
      </c>
      <c r="J125" s="5">
        <v>805.70633333333296</v>
      </c>
      <c r="K125" s="5">
        <v>805.70633333333296</v>
      </c>
    </row>
    <row r="126" spans="1:11" x14ac:dyDescent="0.2">
      <c r="A126" s="4" t="s">
        <v>578</v>
      </c>
      <c r="B126" s="5">
        <v>0.71399999999999997</v>
      </c>
      <c r="C126" s="5">
        <v>3.4990000000000001</v>
      </c>
      <c r="D126" s="5">
        <v>11.749000000000001</v>
      </c>
      <c r="E126" s="5">
        <v>11.504</v>
      </c>
      <c r="F126" s="5">
        <v>21.4</v>
      </c>
      <c r="G126" s="5">
        <v>31.54</v>
      </c>
      <c r="H126" s="5">
        <v>42.865000000000002</v>
      </c>
      <c r="I126" s="5">
        <v>40.561999999999998</v>
      </c>
      <c r="J126" s="5">
        <v>38.116142857142897</v>
      </c>
      <c r="K126" s="5">
        <v>38.116142857142897</v>
      </c>
    </row>
    <row r="127" spans="1:11" x14ac:dyDescent="0.2">
      <c r="A127" s="4" t="s">
        <v>579</v>
      </c>
      <c r="B127" s="5">
        <v>0.27600000000000002</v>
      </c>
      <c r="C127" s="5">
        <v>0.186</v>
      </c>
      <c r="D127" s="5">
        <v>0.109</v>
      </c>
      <c r="E127" s="5">
        <v>0.17</v>
      </c>
      <c r="F127" s="5">
        <v>0.154</v>
      </c>
      <c r="G127" s="5">
        <v>0.30099999999999999</v>
      </c>
      <c r="H127" s="5">
        <v>0.55200000000000005</v>
      </c>
      <c r="I127" s="5">
        <v>0.29799999999999999</v>
      </c>
      <c r="J127" s="5">
        <v>0.37</v>
      </c>
      <c r="K127" s="5">
        <v>0.37</v>
      </c>
    </row>
    <row r="128" spans="1:11" x14ac:dyDescent="0.2">
      <c r="A128" s="4" t="s">
        <v>580</v>
      </c>
      <c r="B128" s="5">
        <v>64.025000000000006</v>
      </c>
      <c r="C128" s="5">
        <v>255.81100000000001</v>
      </c>
      <c r="D128" s="5">
        <v>478.428</v>
      </c>
      <c r="E128" s="5">
        <v>2105.319</v>
      </c>
      <c r="F128" s="5">
        <v>3619.98</v>
      </c>
      <c r="G128" s="5">
        <v>2668.732</v>
      </c>
      <c r="H128" s="5">
        <v>2575.154</v>
      </c>
      <c r="I128" s="5">
        <v>1826.203</v>
      </c>
      <c r="J128" s="5">
        <v>1618.9441592631799</v>
      </c>
      <c r="K128" s="5">
        <v>1623.6921614319899</v>
      </c>
    </row>
    <row r="129" spans="1:11" x14ac:dyDescent="0.2">
      <c r="A129" s="4" t="s">
        <v>498</v>
      </c>
      <c r="B129" s="5"/>
      <c r="C129" s="5"/>
      <c r="D129" s="5"/>
      <c r="E129" s="5"/>
      <c r="F129" s="5"/>
      <c r="G129" s="5"/>
      <c r="H129" s="5"/>
      <c r="I129" s="5"/>
      <c r="J129" s="5"/>
      <c r="K129" s="5"/>
    </row>
    <row r="130" spans="1:11" x14ac:dyDescent="0.2">
      <c r="A130" s="4" t="s">
        <v>581</v>
      </c>
      <c r="B130" s="5"/>
      <c r="C130" s="5"/>
      <c r="D130" s="5"/>
      <c r="E130" s="5"/>
      <c r="F130" s="5"/>
      <c r="G130" s="5"/>
      <c r="H130" s="5"/>
      <c r="I130" s="5"/>
      <c r="J130" s="5"/>
      <c r="K130" s="5"/>
    </row>
    <row r="131" spans="1:11" x14ac:dyDescent="0.2">
      <c r="A131" s="4" t="s">
        <v>582</v>
      </c>
      <c r="B131" s="5">
        <v>34.308</v>
      </c>
      <c r="C131" s="5">
        <v>48.634999999999998</v>
      </c>
      <c r="D131" s="5">
        <v>70.808999999999997</v>
      </c>
      <c r="E131" s="5">
        <v>113.402</v>
      </c>
      <c r="F131" s="5">
        <v>157.852</v>
      </c>
      <c r="G131" s="5">
        <v>150.45699999999999</v>
      </c>
      <c r="H131" s="5">
        <v>144.666</v>
      </c>
      <c r="I131" s="5">
        <v>148.983</v>
      </c>
      <c r="J131" s="5">
        <v>144.616426083601</v>
      </c>
      <c r="K131" s="5">
        <v>156.77963142062299</v>
      </c>
    </row>
    <row r="132" spans="1:11" x14ac:dyDescent="0.2">
      <c r="A132" s="4" t="s">
        <v>583</v>
      </c>
      <c r="B132" s="5">
        <v>8.9529999999999994</v>
      </c>
      <c r="C132" s="5">
        <v>16.183</v>
      </c>
      <c r="D132" s="5">
        <v>30.81</v>
      </c>
      <c r="E132" s="5">
        <v>65.052000000000007</v>
      </c>
      <c r="F132" s="5">
        <v>78.307000000000002</v>
      </c>
      <c r="G132" s="5">
        <v>68.826999999999998</v>
      </c>
      <c r="H132" s="5">
        <v>68.679000000000002</v>
      </c>
      <c r="I132" s="5">
        <v>73.075000000000003</v>
      </c>
      <c r="J132" s="5">
        <v>74.833010092772199</v>
      </c>
      <c r="K132" s="5">
        <v>88.564473695086903</v>
      </c>
    </row>
    <row r="133" spans="1:11" x14ac:dyDescent="0.2">
      <c r="A133" s="4" t="s">
        <v>584</v>
      </c>
      <c r="B133" s="5">
        <v>25.210999999999999</v>
      </c>
      <c r="C133" s="5">
        <v>32.317</v>
      </c>
      <c r="D133" s="5">
        <v>36.622</v>
      </c>
      <c r="E133" s="5">
        <v>43.116</v>
      </c>
      <c r="F133" s="5">
        <v>65.194000000000003</v>
      </c>
      <c r="G133" s="5">
        <v>68.093999999999994</v>
      </c>
      <c r="H133" s="5">
        <v>67.335999999999999</v>
      </c>
      <c r="I133" s="5">
        <v>68.713999999999999</v>
      </c>
      <c r="J133" s="5">
        <v>66.025905525145205</v>
      </c>
      <c r="K133" s="5">
        <v>66.515110583269703</v>
      </c>
    </row>
    <row r="134" spans="1:11" x14ac:dyDescent="0.2">
      <c r="A134" s="4" t="s">
        <v>585</v>
      </c>
      <c r="B134" s="5" t="s">
        <v>496</v>
      </c>
      <c r="C134" s="5" t="s">
        <v>496</v>
      </c>
      <c r="D134" s="5">
        <v>3.3010000000000002</v>
      </c>
      <c r="E134" s="5">
        <v>5.12</v>
      </c>
      <c r="F134" s="5">
        <v>7.633</v>
      </c>
      <c r="G134" s="5">
        <v>6.617</v>
      </c>
      <c r="H134" s="5">
        <v>6.9420000000000002</v>
      </c>
      <c r="I134" s="5">
        <v>5.6539999999999999</v>
      </c>
      <c r="J134" s="5">
        <v>5.5814822410937497</v>
      </c>
      <c r="K134" s="5">
        <v>5.5883979434270303</v>
      </c>
    </row>
    <row r="135" spans="1:11" x14ac:dyDescent="0.2">
      <c r="A135" s="4" t="s">
        <v>586</v>
      </c>
      <c r="B135" s="5">
        <v>0.14399999999999999</v>
      </c>
      <c r="C135" s="5">
        <v>0.13500000000000001</v>
      </c>
      <c r="D135" s="5">
        <v>7.5999999999999998E-2</v>
      </c>
      <c r="E135" s="5">
        <v>0.114</v>
      </c>
      <c r="F135" s="5">
        <v>6.718</v>
      </c>
      <c r="G135" s="5">
        <v>6.9189999999999996</v>
      </c>
      <c r="H135" s="5">
        <v>1.7090000000000001</v>
      </c>
      <c r="I135" s="5">
        <v>1.54</v>
      </c>
      <c r="J135" s="5">
        <v>1.832024283</v>
      </c>
      <c r="K135" s="5">
        <v>1.85206760360014</v>
      </c>
    </row>
    <row r="136" spans="1:11" x14ac:dyDescent="0.2">
      <c r="A136" s="4" t="s">
        <v>587</v>
      </c>
      <c r="B136" s="5">
        <v>44.393999999999998</v>
      </c>
      <c r="C136" s="5">
        <v>10.51</v>
      </c>
      <c r="D136" s="5">
        <v>63.481000000000002</v>
      </c>
      <c r="E136" s="5">
        <v>57.634</v>
      </c>
      <c r="F136" s="5">
        <v>62.838999999999999</v>
      </c>
      <c r="G136" s="5">
        <v>20.826000000000001</v>
      </c>
      <c r="H136" s="5">
        <v>18.087</v>
      </c>
      <c r="I136" s="5">
        <v>13.253</v>
      </c>
      <c r="J136" s="5">
        <v>25.034249725276901</v>
      </c>
      <c r="K136" s="5">
        <v>30.947692376309298</v>
      </c>
    </row>
    <row r="137" spans="1:11" x14ac:dyDescent="0.2">
      <c r="A137" s="4" t="s">
        <v>588</v>
      </c>
      <c r="B137" s="5" t="s">
        <v>496</v>
      </c>
      <c r="C137" s="5" t="s">
        <v>496</v>
      </c>
      <c r="D137" s="5">
        <v>29.687000000000001</v>
      </c>
      <c r="E137" s="5">
        <v>29.77</v>
      </c>
      <c r="F137" s="5">
        <v>29.841000000000001</v>
      </c>
      <c r="G137" s="5">
        <v>0</v>
      </c>
      <c r="H137" s="5" t="s">
        <v>496</v>
      </c>
      <c r="I137" s="5" t="s">
        <v>496</v>
      </c>
      <c r="J137" s="5" t="s">
        <v>496</v>
      </c>
      <c r="K137" s="5" t="s">
        <v>496</v>
      </c>
    </row>
    <row r="138" spans="1:11" x14ac:dyDescent="0.2">
      <c r="A138" s="4" t="s">
        <v>589</v>
      </c>
      <c r="B138" s="5">
        <v>30.893000000000001</v>
      </c>
      <c r="C138" s="5">
        <v>0.70599999999999996</v>
      </c>
      <c r="D138" s="5">
        <v>6.5780000000000003</v>
      </c>
      <c r="E138" s="5">
        <v>1.3560000000000001</v>
      </c>
      <c r="F138" s="5">
        <v>6.8330000000000002</v>
      </c>
      <c r="G138" s="5">
        <v>0</v>
      </c>
      <c r="H138" s="5">
        <v>0</v>
      </c>
      <c r="I138" s="5">
        <v>0</v>
      </c>
      <c r="J138" s="5">
        <v>0.16457142857142901</v>
      </c>
      <c r="K138" s="5">
        <v>0.16457142857142901</v>
      </c>
    </row>
    <row r="139" spans="1:11" x14ac:dyDescent="0.2">
      <c r="A139" s="4" t="s">
        <v>590</v>
      </c>
      <c r="B139" s="5">
        <v>11.792999999999999</v>
      </c>
      <c r="C139" s="5">
        <v>8.0250000000000004</v>
      </c>
      <c r="D139" s="5">
        <v>5.4720000000000004</v>
      </c>
      <c r="E139" s="5">
        <v>2.7959999999999998</v>
      </c>
      <c r="F139" s="5">
        <v>2.121</v>
      </c>
      <c r="G139" s="5">
        <v>1.226</v>
      </c>
      <c r="H139" s="5">
        <v>0.85099999999999998</v>
      </c>
      <c r="I139" s="5">
        <v>1.0880000000000001</v>
      </c>
      <c r="J139" s="5">
        <v>1.4691384857720899</v>
      </c>
      <c r="K139" s="5">
        <v>2.0363716083238401</v>
      </c>
    </row>
    <row r="140" spans="1:11" x14ac:dyDescent="0.2">
      <c r="A140" s="4" t="s">
        <v>591</v>
      </c>
      <c r="B140" s="5" t="s">
        <v>496</v>
      </c>
      <c r="C140" s="5" t="s">
        <v>496</v>
      </c>
      <c r="D140" s="5">
        <v>13.545999999999999</v>
      </c>
      <c r="E140" s="5">
        <v>20.558</v>
      </c>
      <c r="F140" s="5">
        <v>23.036999999999999</v>
      </c>
      <c r="G140" s="5">
        <v>18.574000000000002</v>
      </c>
      <c r="H140" s="5">
        <v>16.268999999999998</v>
      </c>
      <c r="I140" s="5">
        <v>11.319000000000001</v>
      </c>
      <c r="J140" s="5">
        <v>12.7689607877449</v>
      </c>
      <c r="K140" s="5">
        <v>14.1633523508987</v>
      </c>
    </row>
    <row r="141" spans="1:11" x14ac:dyDescent="0.2">
      <c r="A141" s="4" t="s">
        <v>592</v>
      </c>
      <c r="B141" s="5">
        <v>1.708</v>
      </c>
      <c r="C141" s="5">
        <v>1.7789999999999999</v>
      </c>
      <c r="D141" s="5">
        <v>8.1980000000000004</v>
      </c>
      <c r="E141" s="5">
        <v>3.1539999999999999</v>
      </c>
      <c r="F141" s="5">
        <v>1.0069999999999999</v>
      </c>
      <c r="G141" s="5">
        <v>1.026</v>
      </c>
      <c r="H141" s="5">
        <v>0.96699999999999997</v>
      </c>
      <c r="I141" s="5">
        <v>0.84599999999999997</v>
      </c>
      <c r="J141" s="5">
        <v>1.7654347656534699</v>
      </c>
      <c r="K141" s="5">
        <v>8.0722186223959493</v>
      </c>
    </row>
    <row r="142" spans="1:11" x14ac:dyDescent="0.2">
      <c r="A142" s="4" t="s">
        <v>593</v>
      </c>
      <c r="B142" s="5">
        <v>78.701999999999998</v>
      </c>
      <c r="C142" s="5">
        <v>59.145000000000003</v>
      </c>
      <c r="D142" s="5">
        <v>134.29</v>
      </c>
      <c r="E142" s="5">
        <v>171.036</v>
      </c>
      <c r="F142" s="5">
        <v>220.691</v>
      </c>
      <c r="G142" s="5">
        <v>171.28299999999999</v>
      </c>
      <c r="H142" s="5">
        <v>162.75299999999999</v>
      </c>
      <c r="I142" s="5">
        <v>162.23599999999999</v>
      </c>
      <c r="J142" s="5">
        <v>162.86291774388599</v>
      </c>
      <c r="K142" s="5">
        <v>183.00871487212899</v>
      </c>
    </row>
    <row r="143" spans="1:11" x14ac:dyDescent="0.2">
      <c r="A143" s="4" t="s">
        <v>594</v>
      </c>
      <c r="B143" s="5">
        <v>-14.677</v>
      </c>
      <c r="C143" s="5">
        <v>196.666</v>
      </c>
      <c r="D143" s="5">
        <v>344.13799999999998</v>
      </c>
      <c r="E143" s="5">
        <v>1934.2829999999999</v>
      </c>
      <c r="F143" s="5">
        <v>3399.2890000000002</v>
      </c>
      <c r="G143" s="5">
        <v>2497.4490000000001</v>
      </c>
      <c r="H143" s="5">
        <v>2412.4009999999998</v>
      </c>
      <c r="I143" s="5">
        <v>1663.9670000000001</v>
      </c>
      <c r="J143" s="5">
        <v>1461.1818181818201</v>
      </c>
      <c r="K143" s="5">
        <v>1445.3636363636399</v>
      </c>
    </row>
    <row r="144" spans="1:11" x14ac:dyDescent="0.2">
      <c r="A144" s="4" t="s">
        <v>595</v>
      </c>
      <c r="B144" s="5">
        <v>14.324999999999999</v>
      </c>
      <c r="C144" s="5">
        <v>652.33600000000001</v>
      </c>
      <c r="D144" s="5">
        <v>852.11500000000001</v>
      </c>
      <c r="E144" s="5">
        <v>2526.4479999999999</v>
      </c>
      <c r="F144" s="5">
        <v>4199.0249999999996</v>
      </c>
      <c r="G144" s="5">
        <v>4298.683</v>
      </c>
      <c r="H144" s="5">
        <v>4362.6909999999998</v>
      </c>
      <c r="I144" s="5">
        <v>4157.3950000000004</v>
      </c>
      <c r="J144" s="5">
        <v>3903.87443032787</v>
      </c>
      <c r="K144" s="5">
        <v>3942.7904046051599</v>
      </c>
    </row>
    <row r="145" spans="1:11" x14ac:dyDescent="0.2">
      <c r="A145" s="4" t="s">
        <v>596</v>
      </c>
      <c r="B145" s="5">
        <v>2.8039999999999998</v>
      </c>
      <c r="C145" s="5">
        <v>4.2779999999999996</v>
      </c>
      <c r="D145" s="5">
        <v>11.773</v>
      </c>
      <c r="E145" s="5">
        <v>35.877000000000002</v>
      </c>
      <c r="F145" s="5">
        <v>123.777</v>
      </c>
      <c r="G145" s="5">
        <v>198.02199999999999</v>
      </c>
      <c r="H145" s="5">
        <v>213.91800000000001</v>
      </c>
      <c r="I145" s="5">
        <v>200.63399999999999</v>
      </c>
      <c r="J145" s="5">
        <v>200.474826996872</v>
      </c>
      <c r="K145" s="5">
        <v>224.16581920843799</v>
      </c>
    </row>
    <row r="146" spans="1:11" x14ac:dyDescent="0.2">
      <c r="A146" s="4" t="s">
        <v>597</v>
      </c>
      <c r="B146" s="5">
        <v>-282.69</v>
      </c>
      <c r="C146" s="5">
        <v>-459.94799999999998</v>
      </c>
      <c r="D146" s="5">
        <v>-513.47900000000004</v>
      </c>
      <c r="E146" s="5">
        <v>-637.75699999999995</v>
      </c>
      <c r="F146" s="5">
        <v>-926.19</v>
      </c>
      <c r="G146" s="5">
        <v>-1996.1990000000001</v>
      </c>
      <c r="H146" s="5">
        <v>-2160.163</v>
      </c>
      <c r="I146" s="5">
        <v>-2686.6</v>
      </c>
      <c r="J146" s="5">
        <v>-1909.7342986220499</v>
      </c>
      <c r="K146" s="5">
        <v>-1970.89245657793</v>
      </c>
    </row>
    <row r="147" spans="1:11" x14ac:dyDescent="0.2">
      <c r="A147" s="4" t="s">
        <v>598</v>
      </c>
      <c r="B147" s="5" t="s">
        <v>496</v>
      </c>
      <c r="C147" s="5" t="s">
        <v>496</v>
      </c>
      <c r="D147" s="5">
        <v>-6.2709999999999999</v>
      </c>
      <c r="E147" s="5">
        <v>9.7149999999999999</v>
      </c>
      <c r="F147" s="5">
        <v>2.677</v>
      </c>
      <c r="G147" s="5">
        <v>-3.0569999999999999</v>
      </c>
      <c r="H147" s="5">
        <v>-4.0449999999999999</v>
      </c>
      <c r="I147" s="5">
        <v>-7.4619999999999997</v>
      </c>
      <c r="J147" s="5">
        <v>2.992</v>
      </c>
      <c r="K147" s="5">
        <v>2.992</v>
      </c>
    </row>
    <row r="148" spans="1:11" x14ac:dyDescent="0.2">
      <c r="A148" s="4" t="s">
        <v>599</v>
      </c>
      <c r="B148" s="5">
        <v>64.025000000000006</v>
      </c>
      <c r="C148" s="5">
        <v>255.81100000000001</v>
      </c>
      <c r="D148" s="5">
        <v>478.428</v>
      </c>
      <c r="E148" s="5">
        <v>2105.319</v>
      </c>
      <c r="F148" s="5">
        <v>3619.98</v>
      </c>
      <c r="G148" s="5">
        <v>2668.732</v>
      </c>
      <c r="H148" s="5">
        <v>2575.154</v>
      </c>
      <c r="I148" s="5">
        <v>1826.203</v>
      </c>
      <c r="J148" s="5">
        <v>1618.9441592631799</v>
      </c>
      <c r="K148" s="5">
        <v>1623.6921614319899</v>
      </c>
    </row>
    <row r="149" spans="1:11" x14ac:dyDescent="0.2">
      <c r="A149" s="4" t="s">
        <v>498</v>
      </c>
      <c r="B149" s="5"/>
      <c r="C149" s="5"/>
      <c r="D149" s="5"/>
      <c r="E149" s="5"/>
      <c r="F149" s="5"/>
      <c r="G149" s="5"/>
      <c r="H149" s="5"/>
      <c r="I149" s="5"/>
      <c r="J149" s="5"/>
      <c r="K149" s="5"/>
    </row>
    <row r="150" spans="1:11" x14ac:dyDescent="0.2">
      <c r="A150" s="4" t="s">
        <v>600</v>
      </c>
      <c r="B150" s="5"/>
      <c r="C150" s="5"/>
      <c r="D150" s="5"/>
      <c r="E150" s="5"/>
      <c r="F150" s="5"/>
      <c r="G150" s="5"/>
      <c r="H150" s="5"/>
      <c r="I150" s="5"/>
      <c r="J150" s="5"/>
      <c r="K150" s="5"/>
    </row>
    <row r="151" spans="1:11" x14ac:dyDescent="0.2">
      <c r="A151" s="4" t="s">
        <v>601</v>
      </c>
      <c r="B151" s="5">
        <v>-24.651</v>
      </c>
      <c r="C151" s="5">
        <v>-207.703</v>
      </c>
      <c r="D151" s="5">
        <v>-164.435</v>
      </c>
      <c r="E151" s="5">
        <v>-751.702</v>
      </c>
      <c r="F151" s="5">
        <v>-893.14300000000003</v>
      </c>
      <c r="G151" s="5">
        <v>-774.96299999999997</v>
      </c>
      <c r="H151" s="5">
        <v>-698.89099999999996</v>
      </c>
      <c r="I151" s="5">
        <v>-541.49599999999998</v>
      </c>
      <c r="J151" s="5">
        <v>-269.14481416386599</v>
      </c>
      <c r="K151" s="5">
        <v>-190.678326110585</v>
      </c>
    </row>
    <row r="152" spans="1:11" x14ac:dyDescent="0.2">
      <c r="A152" s="4" t="s">
        <v>602</v>
      </c>
      <c r="B152" s="5"/>
      <c r="C152" s="5"/>
      <c r="D152" s="5"/>
      <c r="E152" s="5"/>
      <c r="F152" s="5"/>
      <c r="G152" s="5"/>
      <c r="H152" s="5"/>
      <c r="I152" s="5"/>
      <c r="J152" s="5"/>
      <c r="K152" s="5"/>
    </row>
    <row r="153" spans="1:11" x14ac:dyDescent="0.2">
      <c r="A153" s="4" t="s">
        <v>603</v>
      </c>
      <c r="B153" s="5">
        <v>-161.00137266061799</v>
      </c>
      <c r="C153" s="5">
        <v>-114.76194049450299</v>
      </c>
      <c r="D153" s="5">
        <v>-14.581355662120901</v>
      </c>
      <c r="E153" s="5">
        <v>-9.6199821422143899</v>
      </c>
      <c r="F153" s="5">
        <v>-10.075735782532901</v>
      </c>
      <c r="G153" s="5">
        <v>-34.029511925494397</v>
      </c>
      <c r="H153" s="5">
        <v>-6.2535303017647603</v>
      </c>
      <c r="I153" s="5">
        <v>-30.317740642261001</v>
      </c>
      <c r="J153" s="5">
        <v>-10.5187090529486</v>
      </c>
      <c r="K153" s="5">
        <v>-3.2</v>
      </c>
    </row>
    <row r="154" spans="1:11" x14ac:dyDescent="0.2">
      <c r="A154" s="4" t="s">
        <v>604</v>
      </c>
      <c r="B154" s="5" t="s">
        <v>496</v>
      </c>
      <c r="C154" s="5" t="s">
        <v>496</v>
      </c>
      <c r="D154" s="5">
        <v>-19.796821029430301</v>
      </c>
      <c r="E154" s="5">
        <v>-10.909134001135</v>
      </c>
      <c r="F154" s="5">
        <v>-10.8157534950311</v>
      </c>
      <c r="G154" s="5">
        <v>-36.291556450362897</v>
      </c>
      <c r="H154" s="5">
        <v>-6.6789820462946903</v>
      </c>
      <c r="I154" s="5">
        <v>-32.734826688856401</v>
      </c>
      <c r="J154" s="5">
        <v>-10.2285926838662</v>
      </c>
      <c r="K154" s="5">
        <v>-3.6</v>
      </c>
    </row>
    <row r="155" spans="1:11" x14ac:dyDescent="0.2">
      <c r="A155" s="4" t="s">
        <v>605</v>
      </c>
      <c r="B155" s="5">
        <v>-2.26071663204478</v>
      </c>
      <c r="C155" s="5">
        <v>2.3481887821228802</v>
      </c>
      <c r="D155" s="5">
        <v>3.7322403179799601</v>
      </c>
      <c r="E155" s="5">
        <v>15.0494464205083</v>
      </c>
      <c r="F155" s="5">
        <v>22.8659962317567</v>
      </c>
      <c r="G155" s="5">
        <v>16.520764445107101</v>
      </c>
      <c r="H155" s="5">
        <v>15.7110938147031</v>
      </c>
      <c r="I155" s="5">
        <v>11.365945505207799</v>
      </c>
      <c r="J155" s="5">
        <v>10.8900934875924</v>
      </c>
      <c r="K155" s="5">
        <v>11.063185959679499</v>
      </c>
    </row>
    <row r="156" spans="1:11" x14ac:dyDescent="0.2">
      <c r="A156" s="4" t="s">
        <v>498</v>
      </c>
      <c r="B156" s="5"/>
      <c r="C156" s="5"/>
      <c r="D156" s="5"/>
      <c r="E156" s="5"/>
      <c r="F156" s="5"/>
      <c r="G156" s="5"/>
      <c r="H156" s="5"/>
      <c r="I156" s="5"/>
      <c r="J156" s="5"/>
      <c r="K156" s="5"/>
    </row>
    <row r="157" spans="1:11" x14ac:dyDescent="0.2">
      <c r="A157" s="4" t="s">
        <v>606</v>
      </c>
      <c r="B157" s="5"/>
      <c r="C157" s="5"/>
      <c r="D157" s="5"/>
      <c r="E157" s="5"/>
      <c r="F157" s="5"/>
      <c r="G157" s="5"/>
      <c r="H157" s="5"/>
      <c r="I157" s="5"/>
      <c r="J157" s="5"/>
      <c r="K157" s="5"/>
    </row>
    <row r="158" spans="1:11" x14ac:dyDescent="0.2">
      <c r="A158" s="4" t="s">
        <v>607</v>
      </c>
      <c r="B158" s="5"/>
      <c r="C158" s="5"/>
      <c r="D158" s="5"/>
      <c r="E158" s="5"/>
      <c r="F158" s="5"/>
      <c r="G158" s="5"/>
      <c r="H158" s="5"/>
      <c r="I158" s="5"/>
      <c r="J158" s="5"/>
      <c r="K158" s="5"/>
    </row>
    <row r="159" spans="1:11" x14ac:dyDescent="0.2">
      <c r="A159" s="4" t="s">
        <v>557</v>
      </c>
      <c r="B159" s="5" t="s">
        <v>496</v>
      </c>
      <c r="C159" s="5">
        <v>-183.52500000000001</v>
      </c>
      <c r="D159" s="5">
        <v>-53.530999999999999</v>
      </c>
      <c r="E159" s="5">
        <v>-99.096000000000004</v>
      </c>
      <c r="F159" s="5">
        <v>-52.976999999999997</v>
      </c>
      <c r="G159" s="5">
        <v>-25.053999999999998</v>
      </c>
      <c r="H159" s="5">
        <v>24.535</v>
      </c>
      <c r="I159" s="5">
        <v>69.536000000000001</v>
      </c>
      <c r="J159" s="5">
        <v>64.924999999999997</v>
      </c>
      <c r="K159" s="5">
        <v>93.758333333333297</v>
      </c>
    </row>
    <row r="160" spans="1:11" x14ac:dyDescent="0.2">
      <c r="A160" s="4" t="s">
        <v>535</v>
      </c>
      <c r="B160" s="5">
        <v>5.1189999999999998</v>
      </c>
      <c r="C160" s="5">
        <v>4.5369999999999999</v>
      </c>
      <c r="D160" s="5">
        <v>13.467000000000001</v>
      </c>
      <c r="E160" s="5">
        <v>36.482999999999997</v>
      </c>
      <c r="F160" s="5">
        <v>104.548</v>
      </c>
      <c r="G160" s="5">
        <v>115.261</v>
      </c>
      <c r="H160" s="5">
        <v>109.628</v>
      </c>
      <c r="I160" s="5">
        <v>100.991</v>
      </c>
      <c r="J160" s="5">
        <v>138.96998589995101</v>
      </c>
      <c r="K160" s="5">
        <v>124.869442256084</v>
      </c>
    </row>
    <row r="161" spans="1:11" x14ac:dyDescent="0.2">
      <c r="A161" s="4" t="s">
        <v>536</v>
      </c>
      <c r="B161" s="5">
        <v>1.1879999999999999</v>
      </c>
      <c r="C161" s="5">
        <v>1.389</v>
      </c>
      <c r="D161" s="5">
        <v>4.2409999999999997</v>
      </c>
      <c r="E161" s="5">
        <v>6.3550000000000004</v>
      </c>
      <c r="F161" s="5">
        <v>12.736000000000001</v>
      </c>
      <c r="G161" s="5">
        <v>13.715</v>
      </c>
      <c r="H161" s="5">
        <v>14.58</v>
      </c>
      <c r="I161" s="5">
        <v>12.558999999999999</v>
      </c>
      <c r="J161" s="5">
        <v>12.421817994451599</v>
      </c>
      <c r="K161" s="5">
        <v>14.346367590926</v>
      </c>
    </row>
    <row r="162" spans="1:11" x14ac:dyDescent="0.2">
      <c r="A162" s="4" t="s">
        <v>537</v>
      </c>
      <c r="B162" s="5">
        <v>1.1879999999999999</v>
      </c>
      <c r="C162" s="5">
        <v>1.389</v>
      </c>
      <c r="D162" s="5">
        <v>1.7490000000000001</v>
      </c>
      <c r="E162" s="5">
        <v>2.4790000000000001</v>
      </c>
      <c r="F162" s="5">
        <v>4.9930000000000003</v>
      </c>
      <c r="G162" s="5">
        <v>5.4710000000000001</v>
      </c>
      <c r="H162" s="5">
        <v>6.6340000000000003</v>
      </c>
      <c r="I162" s="5">
        <v>7.3390000000000004</v>
      </c>
      <c r="J162" s="5">
        <v>7.6013174775038701</v>
      </c>
      <c r="K162" s="5">
        <v>10.569129892725</v>
      </c>
    </row>
    <row r="163" spans="1:11" x14ac:dyDescent="0.2">
      <c r="A163" s="4" t="s">
        <v>538</v>
      </c>
      <c r="B163" s="5" t="s">
        <v>496</v>
      </c>
      <c r="C163" s="5" t="s">
        <v>496</v>
      </c>
      <c r="D163" s="5">
        <v>2.492</v>
      </c>
      <c r="E163" s="5">
        <v>3.8759999999999999</v>
      </c>
      <c r="F163" s="5">
        <v>7.7430000000000003</v>
      </c>
      <c r="G163" s="5">
        <v>8.2439999999999998</v>
      </c>
      <c r="H163" s="5">
        <v>7.9459999999999997</v>
      </c>
      <c r="I163" s="5">
        <v>5.22</v>
      </c>
      <c r="J163" s="5">
        <v>4.4696611613766297</v>
      </c>
      <c r="K163" s="5">
        <v>8.0674715297548705</v>
      </c>
    </row>
    <row r="164" spans="1:11" x14ac:dyDescent="0.2">
      <c r="A164" s="4" t="s">
        <v>539</v>
      </c>
      <c r="B164" s="5">
        <v>3.931</v>
      </c>
      <c r="C164" s="5">
        <v>3.1480000000000001</v>
      </c>
      <c r="D164" s="5">
        <v>9.2260000000000009</v>
      </c>
      <c r="E164" s="5">
        <v>30.128</v>
      </c>
      <c r="F164" s="5">
        <v>91.811999999999998</v>
      </c>
      <c r="G164" s="5">
        <v>101.54600000000001</v>
      </c>
      <c r="H164" s="5">
        <v>95.048000000000002</v>
      </c>
      <c r="I164" s="5">
        <v>88.432000000000002</v>
      </c>
      <c r="J164" s="5">
        <v>118.886041177194</v>
      </c>
      <c r="K164" s="5">
        <v>95.827478734461494</v>
      </c>
    </row>
    <row r="165" spans="1:11" x14ac:dyDescent="0.2">
      <c r="A165" s="4" t="s">
        <v>608</v>
      </c>
      <c r="B165" s="5">
        <v>14.132999999999999</v>
      </c>
      <c r="C165" s="5">
        <v>-30.788</v>
      </c>
      <c r="D165" s="5">
        <v>-3.1589999999999998</v>
      </c>
      <c r="E165" s="5">
        <v>-5.9580000000000002</v>
      </c>
      <c r="F165" s="5">
        <v>-28.024000000000001</v>
      </c>
      <c r="G165" s="5">
        <v>-6.6879999999999997</v>
      </c>
      <c r="H165" s="5">
        <v>-0.32300000000000001</v>
      </c>
      <c r="I165" s="5">
        <v>0.191</v>
      </c>
      <c r="J165" s="5">
        <v>-0.26100000000000001</v>
      </c>
      <c r="K165" s="5">
        <v>0.106</v>
      </c>
    </row>
    <row r="166" spans="1:11" x14ac:dyDescent="0.2">
      <c r="A166" s="4" t="s">
        <v>609</v>
      </c>
      <c r="B166" s="5">
        <v>-0.28199999999999997</v>
      </c>
      <c r="C166" s="5">
        <v>0.92900000000000005</v>
      </c>
      <c r="D166" s="5">
        <v>0.47499999999999998</v>
      </c>
      <c r="E166" s="5">
        <v>0.32</v>
      </c>
      <c r="F166" s="5">
        <v>5.0000000000000001E-3</v>
      </c>
      <c r="G166" s="5">
        <v>0.1</v>
      </c>
      <c r="H166" s="5">
        <v>-0.11600000000000001</v>
      </c>
      <c r="I166" s="5">
        <v>-0.28999999999999998</v>
      </c>
      <c r="J166" s="5">
        <v>-0.43922347499999997</v>
      </c>
      <c r="K166" s="5" t="s">
        <v>496</v>
      </c>
    </row>
    <row r="167" spans="1:11" x14ac:dyDescent="0.2">
      <c r="A167" s="4" t="s">
        <v>610</v>
      </c>
      <c r="B167" s="5">
        <v>60.927</v>
      </c>
      <c r="C167" s="5">
        <v>190.72</v>
      </c>
      <c r="D167" s="5">
        <v>4.8760000000000003</v>
      </c>
      <c r="E167" s="5">
        <v>4.5179999999999998</v>
      </c>
      <c r="F167" s="5">
        <v>45.042000000000002</v>
      </c>
      <c r="G167" s="5">
        <v>40.219000000000001</v>
      </c>
      <c r="H167" s="5">
        <v>-41.790999999999997</v>
      </c>
      <c r="I167" s="5">
        <v>-31.933</v>
      </c>
      <c r="J167" s="5">
        <v>-12.365</v>
      </c>
      <c r="K167" s="5">
        <v>-32.5</v>
      </c>
    </row>
    <row r="168" spans="1:11" x14ac:dyDescent="0.2">
      <c r="A168" s="4" t="s">
        <v>561</v>
      </c>
      <c r="B168" s="5">
        <v>1.1599999999999999</v>
      </c>
      <c r="C168" s="5">
        <v>1.6930000000000001</v>
      </c>
      <c r="D168" s="5">
        <v>8.8699999999999992</v>
      </c>
      <c r="E168" s="5">
        <v>33.859000000000002</v>
      </c>
      <c r="F168" s="5">
        <v>108.916</v>
      </c>
      <c r="G168" s="5">
        <v>129.167</v>
      </c>
      <c r="H168" s="5">
        <v>74.912999999999997</v>
      </c>
      <c r="I168" s="5">
        <v>55.604999999999997</v>
      </c>
      <c r="J168" s="5">
        <v>62.986781270679103</v>
      </c>
      <c r="K168" s="5">
        <v>67.314423310927396</v>
      </c>
    </row>
    <row r="169" spans="1:11" x14ac:dyDescent="0.2">
      <c r="A169" s="4" t="s">
        <v>611</v>
      </c>
      <c r="B169" s="5"/>
      <c r="C169" s="5"/>
      <c r="D169" s="5"/>
      <c r="E169" s="5"/>
      <c r="F169" s="5"/>
      <c r="G169" s="5"/>
      <c r="H169" s="5"/>
      <c r="I169" s="5"/>
      <c r="J169" s="5"/>
      <c r="K169" s="5"/>
    </row>
    <row r="170" spans="1:11" x14ac:dyDescent="0.2">
      <c r="A170" s="4" t="s">
        <v>569</v>
      </c>
      <c r="B170" s="5">
        <v>-2.7959999999999998</v>
      </c>
      <c r="C170" s="5">
        <v>-0.72699999999999998</v>
      </c>
      <c r="D170" s="5">
        <v>2.0710000000000002</v>
      </c>
      <c r="E170" s="5">
        <v>-9.1769999999999996</v>
      </c>
      <c r="F170" s="5">
        <v>-5.3840000000000003</v>
      </c>
      <c r="G170" s="5">
        <v>-35.158999999999999</v>
      </c>
      <c r="H170" s="5">
        <v>-7.5659999999999998</v>
      </c>
      <c r="I170" s="5">
        <v>8.9130000000000003</v>
      </c>
      <c r="J170" s="5">
        <v>-2.9966442012154402</v>
      </c>
      <c r="K170" s="5">
        <v>-13.766077500824</v>
      </c>
    </row>
    <row r="171" spans="1:11" x14ac:dyDescent="0.2">
      <c r="A171" s="4" t="s">
        <v>590</v>
      </c>
      <c r="B171" s="5">
        <v>6.8680000000000003</v>
      </c>
      <c r="C171" s="5">
        <v>3.3090000000000002</v>
      </c>
      <c r="D171" s="5">
        <v>-0.433</v>
      </c>
      <c r="E171" s="5">
        <v>-3.9910000000000001</v>
      </c>
      <c r="F171" s="5">
        <v>4.5519999999999996</v>
      </c>
      <c r="G171" s="5">
        <v>2.0049999999999999</v>
      </c>
      <c r="H171" s="5">
        <v>-1.133</v>
      </c>
      <c r="I171" s="5">
        <v>1.5029999999999999</v>
      </c>
      <c r="J171" s="5">
        <v>-2.1732189984331201</v>
      </c>
      <c r="K171" s="5">
        <v>1.5635652567389999</v>
      </c>
    </row>
    <row r="172" spans="1:11" x14ac:dyDescent="0.2">
      <c r="A172" s="4" t="s">
        <v>570</v>
      </c>
      <c r="B172" s="5">
        <v>2.8000000000000001E-2</v>
      </c>
      <c r="C172" s="5">
        <v>-3.1E-2</v>
      </c>
      <c r="D172" s="5">
        <v>-0.40100000000000002</v>
      </c>
      <c r="E172" s="5">
        <v>-0.25600000000000001</v>
      </c>
      <c r="F172" s="5">
        <v>-5.9669999999999996</v>
      </c>
      <c r="G172" s="5">
        <v>-5.2990000000000004</v>
      </c>
      <c r="H172" s="5">
        <v>-3.653</v>
      </c>
      <c r="I172" s="5">
        <v>1.88</v>
      </c>
      <c r="J172" s="5">
        <v>-0.35256946346900903</v>
      </c>
      <c r="K172" s="5">
        <v>-4.96268550396909</v>
      </c>
    </row>
    <row r="173" spans="1:11" x14ac:dyDescent="0.2">
      <c r="A173" s="4" t="s">
        <v>612</v>
      </c>
      <c r="B173" s="5">
        <v>1.016</v>
      </c>
      <c r="C173" s="5">
        <v>5.6470000000000002</v>
      </c>
      <c r="D173" s="5">
        <v>4.18</v>
      </c>
      <c r="E173" s="5">
        <v>-15.333</v>
      </c>
      <c r="F173" s="5">
        <v>6.8419999999999996</v>
      </c>
      <c r="G173" s="5">
        <v>-9.0150000000000006</v>
      </c>
      <c r="H173" s="5">
        <v>-0.19400000000000001</v>
      </c>
      <c r="I173" s="5">
        <v>-0.89200000000000002</v>
      </c>
      <c r="J173" s="5">
        <v>5.9981230199063704</v>
      </c>
      <c r="K173" s="5">
        <v>13.789387890173201</v>
      </c>
    </row>
    <row r="174" spans="1:11" x14ac:dyDescent="0.2">
      <c r="A174" s="4" t="s">
        <v>586</v>
      </c>
      <c r="B174" s="5">
        <v>5.3999999999999999E-2</v>
      </c>
      <c r="C174" s="5">
        <v>-8.9999999999999993E-3</v>
      </c>
      <c r="D174" s="5">
        <v>-5.8999999999999997E-2</v>
      </c>
      <c r="E174" s="5">
        <v>3.7999999999999999E-2</v>
      </c>
      <c r="F174" s="5">
        <v>1.077</v>
      </c>
      <c r="G174" s="5">
        <v>0.20100000000000001</v>
      </c>
      <c r="H174" s="5">
        <v>-5.21</v>
      </c>
      <c r="I174" s="5">
        <v>-0.16900000000000001</v>
      </c>
      <c r="J174" s="5">
        <v>0.29531346628571398</v>
      </c>
      <c r="K174" s="5">
        <v>-1.9198267175994399</v>
      </c>
    </row>
    <row r="175" spans="1:11" x14ac:dyDescent="0.2">
      <c r="A175" s="4" t="s">
        <v>613</v>
      </c>
      <c r="B175" s="5" t="s">
        <v>496</v>
      </c>
      <c r="C175" s="5" t="s">
        <v>496</v>
      </c>
      <c r="D175" s="5">
        <v>-3.44</v>
      </c>
      <c r="E175" s="5">
        <v>-11.962999999999999</v>
      </c>
      <c r="F175" s="5">
        <v>-25.007999999999999</v>
      </c>
      <c r="G175" s="5">
        <v>-9.9860000000000007</v>
      </c>
      <c r="H175" s="5">
        <v>-15.759</v>
      </c>
      <c r="I175" s="5">
        <v>-20.902999999999999</v>
      </c>
      <c r="J175" s="5">
        <v>-0.31375906857142999</v>
      </c>
      <c r="K175" s="5">
        <v>-8.7212399520097605</v>
      </c>
    </row>
    <row r="176" spans="1:11" x14ac:dyDescent="0.2">
      <c r="A176" s="4" t="s">
        <v>592</v>
      </c>
      <c r="B176" s="5">
        <v>0.16800000000000001</v>
      </c>
      <c r="C176" s="5">
        <v>7.0999999999999994E-2</v>
      </c>
      <c r="D176" s="5">
        <v>0.3</v>
      </c>
      <c r="E176" s="5">
        <v>2.3210000000000002</v>
      </c>
      <c r="F176" s="5">
        <v>-2.3959999999999999</v>
      </c>
      <c r="G176" s="5">
        <v>1.9E-2</v>
      </c>
      <c r="H176" s="5">
        <v>3.2000000000000001E-2</v>
      </c>
      <c r="I176" s="5">
        <v>-0.40400000000000003</v>
      </c>
      <c r="J176" s="5">
        <v>7.9333333333333297E-2</v>
      </c>
      <c r="K176" s="5">
        <v>-0.2195</v>
      </c>
    </row>
    <row r="177" spans="1:11" x14ac:dyDescent="0.2">
      <c r="A177" s="4" t="s">
        <v>614</v>
      </c>
      <c r="B177" s="5">
        <v>-10.023</v>
      </c>
      <c r="C177" s="5">
        <v>-7.556</v>
      </c>
      <c r="D177" s="5">
        <v>-28.55</v>
      </c>
      <c r="E177" s="5">
        <v>-93.063999999999993</v>
      </c>
      <c r="F177" s="5">
        <v>-87.218000000000004</v>
      </c>
      <c r="G177" s="5">
        <v>-125.28400000000001</v>
      </c>
      <c r="H177" s="5">
        <v>-97.667000000000002</v>
      </c>
      <c r="I177" s="5">
        <v>-32.762</v>
      </c>
      <c r="J177" s="5">
        <v>47.772190935573299</v>
      </c>
      <c r="K177" s="5">
        <v>87.027739941350106</v>
      </c>
    </row>
    <row r="178" spans="1:11" x14ac:dyDescent="0.2">
      <c r="A178" s="4" t="s">
        <v>498</v>
      </c>
      <c r="B178" s="5"/>
      <c r="C178" s="5"/>
      <c r="D178" s="5"/>
      <c r="E178" s="5"/>
      <c r="F178" s="5"/>
      <c r="G178" s="5"/>
      <c r="H178" s="5"/>
      <c r="I178" s="5"/>
      <c r="J178" s="5"/>
      <c r="K178" s="5"/>
    </row>
    <row r="179" spans="1:11" x14ac:dyDescent="0.2">
      <c r="A179" s="4" t="s">
        <v>615</v>
      </c>
      <c r="B179" s="5"/>
      <c r="C179" s="5"/>
      <c r="D179" s="5"/>
      <c r="E179" s="5"/>
      <c r="F179" s="5"/>
      <c r="G179" s="5"/>
      <c r="H179" s="5"/>
      <c r="I179" s="5"/>
      <c r="J179" s="5"/>
      <c r="K179" s="5"/>
    </row>
    <row r="180" spans="1:11" x14ac:dyDescent="0.2">
      <c r="A180" s="4" t="s">
        <v>616</v>
      </c>
      <c r="B180" s="5">
        <v>6.0000000000000001E-3</v>
      </c>
      <c r="C180" s="5">
        <v>0</v>
      </c>
      <c r="D180" s="5">
        <v>3.48</v>
      </c>
      <c r="E180" s="5">
        <v>2.3220000000000001</v>
      </c>
      <c r="F180" s="5">
        <v>5.8070000000000004</v>
      </c>
      <c r="G180" s="5">
        <v>23.457000000000001</v>
      </c>
      <c r="H180" s="5">
        <v>44.134</v>
      </c>
      <c r="I180" s="5">
        <v>38.677999999999997</v>
      </c>
      <c r="J180" s="5">
        <v>17.2642001614918</v>
      </c>
      <c r="K180" s="5">
        <v>19.226842948940199</v>
      </c>
    </row>
    <row r="181" spans="1:11" x14ac:dyDescent="0.2">
      <c r="A181" s="4" t="s">
        <v>617</v>
      </c>
      <c r="B181" s="5">
        <v>-0.93700000000000006</v>
      </c>
      <c r="C181" s="5">
        <v>-2.0299999999999998</v>
      </c>
      <c r="D181" s="5">
        <v>-3.609</v>
      </c>
      <c r="E181" s="5">
        <v>-1.794</v>
      </c>
      <c r="F181" s="5">
        <v>-10.653</v>
      </c>
      <c r="G181" s="5">
        <v>-9.2270000000000003</v>
      </c>
      <c r="H181" s="5">
        <v>-7.5060000000000002</v>
      </c>
      <c r="I181" s="5">
        <v>-3.7810000000000001</v>
      </c>
      <c r="J181" s="5">
        <v>-9.5781818181818199</v>
      </c>
      <c r="K181" s="5">
        <v>-11.851818181818199</v>
      </c>
    </row>
    <row r="182" spans="1:11" x14ac:dyDescent="0.2">
      <c r="A182" s="4" t="s">
        <v>515</v>
      </c>
      <c r="B182" s="5">
        <v>1.6415844706459499</v>
      </c>
      <c r="C182" s="5">
        <v>2.6210119946805102</v>
      </c>
      <c r="D182" s="5">
        <v>2.9916194865588501</v>
      </c>
      <c r="E182" s="5">
        <v>0.80909943714821797</v>
      </c>
      <c r="F182" s="5">
        <v>1.94265936262245</v>
      </c>
      <c r="G182" s="5">
        <v>1.26309708612934</v>
      </c>
      <c r="H182" s="5">
        <v>0.82549737701672798</v>
      </c>
      <c r="I182" s="5">
        <v>0.35112450850926702</v>
      </c>
      <c r="J182" s="5">
        <v>0.57297399537957805</v>
      </c>
      <c r="K182" s="5">
        <v>0.73847789867012703</v>
      </c>
    </row>
    <row r="183" spans="1:11" x14ac:dyDescent="0.2">
      <c r="A183" s="4" t="s">
        <v>618</v>
      </c>
      <c r="B183" s="5">
        <v>-0.54800000000000004</v>
      </c>
      <c r="C183" s="5">
        <v>0</v>
      </c>
      <c r="D183" s="5" t="s">
        <v>496</v>
      </c>
      <c r="E183" s="5" t="s">
        <v>496</v>
      </c>
      <c r="F183" s="5" t="s">
        <v>496</v>
      </c>
      <c r="G183" s="5">
        <v>-3.8940000000000001</v>
      </c>
      <c r="H183" s="5">
        <v>-10.678000000000001</v>
      </c>
      <c r="I183" s="5">
        <v>-19.341999999999999</v>
      </c>
      <c r="J183" s="5">
        <v>-34.528756832350098</v>
      </c>
      <c r="K183" s="5">
        <v>-28.306330081610501</v>
      </c>
    </row>
    <row r="184" spans="1:11" x14ac:dyDescent="0.2">
      <c r="A184" s="4" t="s">
        <v>619</v>
      </c>
      <c r="B184" s="5">
        <v>0</v>
      </c>
      <c r="C184" s="5">
        <v>-1.389</v>
      </c>
      <c r="D184" s="5">
        <v>-120.164</v>
      </c>
      <c r="E184" s="5">
        <v>-235.57599999999999</v>
      </c>
      <c r="F184" s="5">
        <v>-559.42899999999997</v>
      </c>
      <c r="G184" s="5">
        <v>-3.8940000000000001</v>
      </c>
      <c r="H184" s="5">
        <v>0</v>
      </c>
      <c r="I184" s="5">
        <v>-7.5129999999999999</v>
      </c>
      <c r="J184" s="5">
        <v>-0.16500000000000001</v>
      </c>
      <c r="K184" s="5">
        <v>1</v>
      </c>
    </row>
    <row r="185" spans="1:11" x14ac:dyDescent="0.2">
      <c r="A185" s="4" t="s">
        <v>620</v>
      </c>
      <c r="B185" s="5">
        <v>0</v>
      </c>
      <c r="C185" s="5">
        <v>0</v>
      </c>
      <c r="D185" s="5">
        <v>0</v>
      </c>
      <c r="E185" s="5">
        <v>0</v>
      </c>
      <c r="F185" s="5">
        <v>0.34399999999999997</v>
      </c>
      <c r="G185" s="5">
        <v>-1.5189999999999999</v>
      </c>
      <c r="H185" s="5">
        <v>0</v>
      </c>
      <c r="I185" s="5">
        <v>0</v>
      </c>
      <c r="J185" s="5" t="s">
        <v>496</v>
      </c>
      <c r="K185" s="5" t="s">
        <v>496</v>
      </c>
    </row>
    <row r="186" spans="1:11" x14ac:dyDescent="0.2">
      <c r="A186" s="4" t="s">
        <v>621</v>
      </c>
      <c r="B186" s="5" t="s">
        <v>496</v>
      </c>
      <c r="C186" s="5" t="s">
        <v>496</v>
      </c>
      <c r="D186" s="5">
        <v>-0.65300000000000002</v>
      </c>
      <c r="E186" s="5">
        <v>-1.5569999999999999</v>
      </c>
      <c r="F186" s="5">
        <v>-1.81</v>
      </c>
      <c r="G186" s="5">
        <v>-31.058</v>
      </c>
      <c r="H186" s="5">
        <v>-3.6999999999999998E-2</v>
      </c>
      <c r="I186" s="5">
        <v>-132.49700000000001</v>
      </c>
      <c r="J186" s="5">
        <v>-5.37500000000001E-3</v>
      </c>
      <c r="K186" s="5">
        <v>-8.7999999999999995E-2</v>
      </c>
    </row>
    <row r="187" spans="1:11" x14ac:dyDescent="0.2">
      <c r="A187" s="4" t="s">
        <v>622</v>
      </c>
      <c r="B187" s="5">
        <v>-1.4790000000000001</v>
      </c>
      <c r="C187" s="5">
        <v>-3.419</v>
      </c>
      <c r="D187" s="5">
        <v>-120.29300000000001</v>
      </c>
      <c r="E187" s="5">
        <v>-235.048</v>
      </c>
      <c r="F187" s="5">
        <v>-563.93100000000004</v>
      </c>
      <c r="G187" s="5">
        <v>8.8170000000000002</v>
      </c>
      <c r="H187" s="5">
        <v>25.95</v>
      </c>
      <c r="I187" s="5">
        <v>8.0419999999999998</v>
      </c>
      <c r="J187" s="5">
        <v>-25.442445662499299</v>
      </c>
      <c r="K187" s="5">
        <v>-20.259266878283299</v>
      </c>
    </row>
    <row r="188" spans="1:11" x14ac:dyDescent="0.2">
      <c r="A188" s="4" t="s">
        <v>498</v>
      </c>
      <c r="B188" s="5"/>
      <c r="C188" s="5"/>
      <c r="D188" s="5"/>
      <c r="E188" s="5"/>
      <c r="F188" s="5"/>
      <c r="G188" s="5"/>
      <c r="H188" s="5"/>
      <c r="I188" s="5"/>
      <c r="J188" s="5"/>
      <c r="K188" s="5"/>
    </row>
    <row r="189" spans="1:11" x14ac:dyDescent="0.2">
      <c r="A189" s="4" t="s">
        <v>623</v>
      </c>
      <c r="B189" s="5"/>
      <c r="C189" s="5"/>
      <c r="D189" s="5"/>
      <c r="E189" s="5"/>
      <c r="F189" s="5"/>
      <c r="G189" s="5"/>
      <c r="H189" s="5"/>
      <c r="I189" s="5"/>
      <c r="J189" s="5"/>
      <c r="K189" s="5"/>
    </row>
    <row r="190" spans="1:11" x14ac:dyDescent="0.2">
      <c r="A190" s="4" t="s">
        <v>624</v>
      </c>
      <c r="B190" s="5"/>
      <c r="C190" s="5"/>
      <c r="D190" s="5"/>
      <c r="E190" s="5"/>
      <c r="F190" s="5"/>
      <c r="G190" s="5"/>
      <c r="H190" s="5"/>
      <c r="I190" s="5"/>
      <c r="J190" s="5"/>
      <c r="K190" s="5"/>
    </row>
    <row r="191" spans="1:11" x14ac:dyDescent="0.2">
      <c r="A191" s="4" t="s">
        <v>625</v>
      </c>
      <c r="B191" s="5">
        <v>0</v>
      </c>
      <c r="C191" s="5">
        <v>0</v>
      </c>
      <c r="D191" s="5">
        <v>30</v>
      </c>
      <c r="E191" s="5">
        <v>0</v>
      </c>
      <c r="F191" s="5">
        <v>0</v>
      </c>
      <c r="G191" s="5">
        <v>0</v>
      </c>
      <c r="H191" s="5">
        <v>0</v>
      </c>
      <c r="I191" s="5">
        <v>0</v>
      </c>
      <c r="J191" s="5" t="s">
        <v>496</v>
      </c>
      <c r="K191" s="5" t="s">
        <v>496</v>
      </c>
    </row>
    <row r="192" spans="1:11" x14ac:dyDescent="0.2">
      <c r="A192" s="4" t="s">
        <v>626</v>
      </c>
      <c r="B192" s="5">
        <v>0.49</v>
      </c>
      <c r="C192" s="5">
        <v>0.53600000000000003</v>
      </c>
      <c r="D192" s="5">
        <v>3.5459999999999998</v>
      </c>
      <c r="E192" s="5">
        <v>21.007999999999999</v>
      </c>
      <c r="F192" s="5">
        <v>17.494</v>
      </c>
      <c r="G192" s="5">
        <v>4.71</v>
      </c>
      <c r="H192" s="5">
        <v>2.1440000000000001</v>
      </c>
      <c r="I192" s="5">
        <v>2.2309999999999999</v>
      </c>
      <c r="J192" s="5">
        <v>0.93065341794152801</v>
      </c>
      <c r="K192" s="5">
        <v>2.4226603584620201</v>
      </c>
    </row>
    <row r="193" spans="1:11" x14ac:dyDescent="0.2">
      <c r="A193" s="4" t="s">
        <v>627</v>
      </c>
      <c r="B193" s="5" t="s">
        <v>496</v>
      </c>
      <c r="C193" s="5">
        <v>-12.372</v>
      </c>
      <c r="D193" s="5">
        <v>-6.8929999999999998</v>
      </c>
      <c r="E193" s="5">
        <v>-45.319000000000003</v>
      </c>
      <c r="F193" s="5">
        <v>-34.19</v>
      </c>
      <c r="G193" s="5">
        <v>-0.193</v>
      </c>
      <c r="H193" s="5">
        <v>-0.106</v>
      </c>
      <c r="I193" s="5">
        <v>0</v>
      </c>
      <c r="J193" s="5">
        <v>-164.72443299321199</v>
      </c>
      <c r="K193" s="5">
        <v>-77.612091591266307</v>
      </c>
    </row>
    <row r="194" spans="1:11" x14ac:dyDescent="0.2">
      <c r="A194" s="4" t="s">
        <v>628</v>
      </c>
      <c r="B194" s="5" t="s">
        <v>496</v>
      </c>
      <c r="C194" s="5" t="s">
        <v>496</v>
      </c>
      <c r="D194" s="5">
        <v>3.4009999999999998</v>
      </c>
      <c r="E194" s="5">
        <v>4.351</v>
      </c>
      <c r="F194" s="5">
        <v>6.952</v>
      </c>
      <c r="G194" s="5">
        <v>8.8699999999999992</v>
      </c>
      <c r="H194" s="5">
        <v>8.2270000000000003</v>
      </c>
      <c r="I194" s="5">
        <v>8.41</v>
      </c>
      <c r="J194" s="5">
        <v>5.3509582590000004</v>
      </c>
      <c r="K194" s="5">
        <v>10.6795307542597</v>
      </c>
    </row>
    <row r="195" spans="1:11" x14ac:dyDescent="0.2">
      <c r="A195" s="4" t="s">
        <v>629</v>
      </c>
      <c r="B195" s="5">
        <v>20.49</v>
      </c>
      <c r="C195" s="5">
        <v>194.91900000000001</v>
      </c>
      <c r="D195" s="5">
        <v>153.53200000000001</v>
      </c>
      <c r="E195" s="5">
        <v>922.31500000000005</v>
      </c>
      <c r="F195" s="5">
        <v>798.05700000000002</v>
      </c>
      <c r="G195" s="5">
        <v>-35.411000000000001</v>
      </c>
      <c r="H195" s="5">
        <v>-6.226</v>
      </c>
      <c r="I195" s="5">
        <v>-138.67599999999999</v>
      </c>
      <c r="J195" s="5">
        <v>-166.01993960612501</v>
      </c>
      <c r="K195" s="5">
        <v>-29.661098440132399</v>
      </c>
    </row>
    <row r="196" spans="1:11" x14ac:dyDescent="0.2">
      <c r="A196" s="4" t="s">
        <v>498</v>
      </c>
      <c r="B196" s="5"/>
      <c r="C196" s="5"/>
      <c r="D196" s="5"/>
      <c r="E196" s="5"/>
      <c r="F196" s="5"/>
      <c r="G196" s="5"/>
      <c r="H196" s="5"/>
      <c r="I196" s="5"/>
      <c r="J196" s="5"/>
      <c r="K196" s="5"/>
    </row>
    <row r="197" spans="1:11" x14ac:dyDescent="0.2">
      <c r="A197" s="4" t="s">
        <v>600</v>
      </c>
      <c r="B197" s="5"/>
      <c r="C197" s="5"/>
      <c r="D197" s="5"/>
      <c r="E197" s="5"/>
      <c r="F197" s="5"/>
      <c r="G197" s="5"/>
      <c r="H197" s="5"/>
      <c r="I197" s="5"/>
      <c r="J197" s="5"/>
      <c r="K197" s="5"/>
    </row>
    <row r="198" spans="1:11" x14ac:dyDescent="0.2">
      <c r="A198" s="4" t="s">
        <v>630</v>
      </c>
      <c r="B198" s="5">
        <v>0.35399999999999998</v>
      </c>
      <c r="C198" s="5">
        <v>-0.89200000000000002</v>
      </c>
      <c r="D198" s="5">
        <v>-1.423</v>
      </c>
      <c r="E198" s="5">
        <v>1.978</v>
      </c>
      <c r="F198" s="5">
        <v>-0.40400000000000003</v>
      </c>
      <c r="G198" s="5">
        <v>-1.6220000000000001</v>
      </c>
      <c r="H198" s="5">
        <v>-0.109</v>
      </c>
      <c r="I198" s="5">
        <v>-0.23699999999999999</v>
      </c>
      <c r="J198" s="5">
        <v>1.54666666666667</v>
      </c>
      <c r="K198" s="5">
        <v>-3.5000000000000003E-2</v>
      </c>
    </row>
    <row r="199" spans="1:11" x14ac:dyDescent="0.2">
      <c r="A199" s="4" t="s">
        <v>631</v>
      </c>
      <c r="B199" s="5">
        <v>9.3420000000000005</v>
      </c>
      <c r="C199" s="5">
        <v>183.05199999999999</v>
      </c>
      <c r="D199" s="5">
        <v>3.266</v>
      </c>
      <c r="E199" s="5">
        <v>596.18100000000004</v>
      </c>
      <c r="F199" s="5">
        <v>146.50399999999999</v>
      </c>
      <c r="G199" s="5">
        <v>-153.5</v>
      </c>
      <c r="H199" s="5">
        <v>-78.052000000000007</v>
      </c>
      <c r="I199" s="5">
        <v>-163.63300000000001</v>
      </c>
      <c r="J199" s="5">
        <v>-128.204546692214</v>
      </c>
      <c r="K199" s="5">
        <v>42.209813839724802</v>
      </c>
    </row>
    <row r="200" spans="1:11" x14ac:dyDescent="0.2">
      <c r="A200" s="4" t="s">
        <v>632</v>
      </c>
      <c r="B200" s="5">
        <v>15.308999999999999</v>
      </c>
      <c r="C200" s="5">
        <v>24.651</v>
      </c>
      <c r="D200" s="5">
        <v>207.703</v>
      </c>
      <c r="E200" s="5">
        <v>210.96899999999999</v>
      </c>
      <c r="F200" s="5">
        <v>807.15</v>
      </c>
      <c r="G200" s="5">
        <v>953.654</v>
      </c>
      <c r="H200" s="5">
        <v>800.154</v>
      </c>
      <c r="I200" s="5">
        <v>722.10199999999998</v>
      </c>
      <c r="J200" s="5">
        <v>575.636666666667</v>
      </c>
      <c r="K200" s="5">
        <v>432.871544650928</v>
      </c>
    </row>
    <row r="201" spans="1:11" x14ac:dyDescent="0.2">
      <c r="A201" s="4" t="s">
        <v>633</v>
      </c>
      <c r="B201" s="5">
        <v>24.651</v>
      </c>
      <c r="C201" s="5">
        <v>207.703</v>
      </c>
      <c r="D201" s="5">
        <v>210.96899999999999</v>
      </c>
      <c r="E201" s="5">
        <v>807.15</v>
      </c>
      <c r="F201" s="5">
        <v>953.654</v>
      </c>
      <c r="G201" s="5">
        <v>800.154</v>
      </c>
      <c r="H201" s="5">
        <v>722.10199999999998</v>
      </c>
      <c r="I201" s="5">
        <v>558.46900000000005</v>
      </c>
      <c r="J201" s="5">
        <v>455.64743627480198</v>
      </c>
      <c r="K201" s="5">
        <v>482.317180976288</v>
      </c>
    </row>
    <row r="202" spans="1:11" x14ac:dyDescent="0.2">
      <c r="A202" s="4" t="s">
        <v>602</v>
      </c>
      <c r="B202" s="5"/>
      <c r="C202" s="5"/>
      <c r="D202" s="5"/>
      <c r="E202" s="5"/>
      <c r="F202" s="5"/>
      <c r="G202" s="5"/>
      <c r="H202" s="5"/>
      <c r="I202" s="5"/>
      <c r="J202" s="5"/>
      <c r="K202" s="5"/>
    </row>
    <row r="203" spans="1:11" x14ac:dyDescent="0.2">
      <c r="A203" s="4" t="s">
        <v>634</v>
      </c>
      <c r="B203" s="5">
        <v>-8.5970963463627106E-2</v>
      </c>
      <c r="C203" s="5">
        <v>-0.227565911819052</v>
      </c>
      <c r="D203" s="5">
        <v>-0.332400694215648</v>
      </c>
      <c r="E203" s="5">
        <v>-0.88445460316547997</v>
      </c>
      <c r="F203" s="5">
        <v>-0.61602934807944498</v>
      </c>
      <c r="G203" s="5">
        <v>-0.83298244536237098</v>
      </c>
      <c r="H203" s="5">
        <v>-0.63516885058650296</v>
      </c>
      <c r="I203" s="5">
        <v>-0.213188073748211</v>
      </c>
      <c r="J203" s="5">
        <v>0.330944089221615</v>
      </c>
      <c r="K203" s="5">
        <v>0.49908538312773199</v>
      </c>
    </row>
    <row r="204" spans="1:11" x14ac:dyDescent="0.2">
      <c r="A204" s="4" t="s">
        <v>635</v>
      </c>
      <c r="B204" s="5">
        <v>-10.96</v>
      </c>
      <c r="C204" s="5">
        <v>-9.5860000000000003</v>
      </c>
      <c r="D204" s="5">
        <v>-32.158999999999999</v>
      </c>
      <c r="E204" s="5">
        <v>-94.858000000000004</v>
      </c>
      <c r="F204" s="5">
        <v>-97.870999999999995</v>
      </c>
      <c r="G204" s="5">
        <v>-134.511</v>
      </c>
      <c r="H204" s="5">
        <v>-105.173</v>
      </c>
      <c r="I204" s="5">
        <v>-36.542999999999999</v>
      </c>
      <c r="J204" s="5">
        <v>26.709925333967998</v>
      </c>
      <c r="K204" s="5">
        <v>66.288664216449604</v>
      </c>
    </row>
    <row r="205" spans="1:11" x14ac:dyDescent="0.2">
      <c r="A205" s="4" t="s">
        <v>498</v>
      </c>
      <c r="B205" s="5"/>
      <c r="C205" s="5"/>
      <c r="D205" s="5"/>
      <c r="E205" s="5"/>
      <c r="F205" s="5"/>
      <c r="G205" s="5"/>
      <c r="H205" s="5"/>
      <c r="I205" s="5"/>
      <c r="J205" s="5"/>
      <c r="K205"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8"/>
  <sheetViews>
    <sheetView topLeftCell="A2" workbookViewId="0">
      <selection activeCell="H21" sqref="H21"/>
    </sheetView>
  </sheetViews>
  <sheetFormatPr baseColWidth="10" defaultColWidth="11.5" defaultRowHeight="15" outlineLevelRow="1" x14ac:dyDescent="0.2"/>
  <cols>
    <col min="2" max="2" width="36.1640625" customWidth="1"/>
    <col min="3" max="7" width="12" customWidth="1"/>
    <col min="8" max="8" width="17.5" customWidth="1"/>
    <col min="9" max="12" width="13.6640625" customWidth="1"/>
  </cols>
  <sheetData>
    <row r="1" spans="1:27" s="141" customFormat="1" outlineLevel="1" x14ac:dyDescent="0.2">
      <c r="A1" s="143" t="s">
        <v>0</v>
      </c>
      <c r="B1" s="143" t="s">
        <v>201</v>
      </c>
    </row>
    <row r="2" spans="1:27" s="142" customFormat="1" x14ac:dyDescent="0.2">
      <c r="B2" s="144" t="s">
        <v>202</v>
      </c>
    </row>
    <row r="3" spans="1:27" x14ac:dyDescent="0.2">
      <c r="C3" s="310" t="s">
        <v>3</v>
      </c>
      <c r="D3" s="310"/>
      <c r="E3" s="310"/>
      <c r="F3" s="310"/>
      <c r="G3" s="310"/>
      <c r="H3" s="311" t="s">
        <v>4</v>
      </c>
      <c r="I3" s="311"/>
      <c r="J3" s="311"/>
      <c r="K3" s="311"/>
      <c r="L3" s="311"/>
      <c r="M3" s="171"/>
      <c r="N3" s="172"/>
      <c r="O3" s="172"/>
      <c r="P3" s="172"/>
      <c r="Q3" s="172"/>
      <c r="R3" s="172"/>
      <c r="S3" s="172"/>
      <c r="T3" s="172"/>
      <c r="U3" s="172"/>
      <c r="V3" s="172"/>
      <c r="W3" s="172"/>
      <c r="X3" s="172"/>
      <c r="Y3" s="172"/>
      <c r="Z3" s="172"/>
      <c r="AA3" s="172"/>
    </row>
    <row r="4" spans="1:27" x14ac:dyDescent="0.2">
      <c r="C4" s="10" t="s">
        <v>7</v>
      </c>
      <c r="D4" s="10" t="s">
        <v>8</v>
      </c>
      <c r="E4" s="10" t="s">
        <v>9</v>
      </c>
      <c r="F4" s="10" t="s">
        <v>10</v>
      </c>
      <c r="G4" s="10" t="s">
        <v>11</v>
      </c>
      <c r="H4" s="74" t="s">
        <v>12</v>
      </c>
      <c r="I4" s="74" t="s">
        <v>13</v>
      </c>
      <c r="J4" s="74" t="s">
        <v>14</v>
      </c>
      <c r="K4" s="74" t="s">
        <v>15</v>
      </c>
      <c r="L4" s="74" t="s">
        <v>16</v>
      </c>
      <c r="M4" s="314" t="s">
        <v>5</v>
      </c>
      <c r="N4" s="315"/>
      <c r="O4" s="315"/>
      <c r="P4" s="315"/>
      <c r="Q4" s="315"/>
      <c r="R4" s="315"/>
      <c r="S4" s="315"/>
      <c r="T4" s="315"/>
      <c r="U4" s="315"/>
      <c r="V4" s="315"/>
      <c r="W4" s="315"/>
      <c r="X4" s="315"/>
      <c r="Y4" s="315"/>
      <c r="Z4" s="315"/>
      <c r="AA4" s="315"/>
    </row>
    <row r="5" spans="1:27" x14ac:dyDescent="0.2">
      <c r="B5" s="70" t="s">
        <v>203</v>
      </c>
      <c r="C5" s="145">
        <v>119323</v>
      </c>
      <c r="D5" s="145">
        <v>248430</v>
      </c>
      <c r="E5" s="145">
        <v>298763</v>
      </c>
      <c r="F5" s="145">
        <v>322000</v>
      </c>
      <c r="G5" s="145">
        <v>344772</v>
      </c>
      <c r="H5" s="146">
        <f>(H48*H64*12)/1000</f>
        <v>417174.12000000011</v>
      </c>
      <c r="I5" s="146">
        <f t="shared" ref="I5:L5" si="0">(I48*I64*12)/1000</f>
        <v>504780.68520000012</v>
      </c>
      <c r="J5" s="146">
        <f t="shared" si="0"/>
        <v>610784.62909200019</v>
      </c>
      <c r="K5" s="146">
        <f t="shared" si="0"/>
        <v>739049.40120132046</v>
      </c>
      <c r="L5" s="146">
        <f t="shared" si="0"/>
        <v>894249.77545359801</v>
      </c>
      <c r="M5" s="245">
        <f>(G5/C5)^(1/4)-1</f>
        <v>0.30377291942885476</v>
      </c>
    </row>
    <row r="6" spans="1:27" x14ac:dyDescent="0.2">
      <c r="B6" s="76" t="s">
        <v>204</v>
      </c>
      <c r="C6" s="15">
        <f>C5/C$32</f>
        <v>0.53815034637032766</v>
      </c>
      <c r="D6" s="15">
        <f>D5/D$32</f>
        <v>0.45303188346596834</v>
      </c>
      <c r="E6" s="15">
        <f>E5/E$32</f>
        <v>0.40898089817195205</v>
      </c>
      <c r="F6" s="15">
        <f>F5/F$32</f>
        <v>0.35413023634344032</v>
      </c>
      <c r="G6" s="15">
        <f>G5/G$32</f>
        <v>0.32017428999671255</v>
      </c>
      <c r="H6" s="147">
        <f>H5/H32</f>
        <v>0.30608823340006858</v>
      </c>
      <c r="I6" s="147">
        <f>I5/I32</f>
        <v>0.30392179779752593</v>
      </c>
      <c r="J6" s="147">
        <f t="shared" ref="J6:L6" si="1">J5/J32</f>
        <v>0.30030826306278124</v>
      </c>
      <c r="K6" s="147">
        <f t="shared" si="1"/>
        <v>0.29985990971019316</v>
      </c>
      <c r="L6" s="147">
        <f t="shared" si="1"/>
        <v>0.30255489485577608</v>
      </c>
    </row>
    <row r="7" spans="1:27" x14ac:dyDescent="0.2">
      <c r="B7" s="76" t="s">
        <v>205</v>
      </c>
      <c r="C7" s="15"/>
      <c r="D7" s="148">
        <f>D5/C5-1</f>
        <v>1.0819959270216137</v>
      </c>
      <c r="E7" s="148">
        <f t="shared" ref="E7:G7" si="2">E5/D5-1</f>
        <v>0.20260435535160815</v>
      </c>
      <c r="F7" s="148">
        <f t="shared" si="2"/>
        <v>7.777736868353835E-2</v>
      </c>
      <c r="G7" s="148">
        <f t="shared" si="2"/>
        <v>7.0720496894409957E-2</v>
      </c>
      <c r="H7" s="148">
        <f t="shared" ref="H7" si="3">H5/G5-1</f>
        <v>0.21000000000000041</v>
      </c>
      <c r="I7" s="148">
        <f t="shared" ref="I7" si="4">I5/H5-1</f>
        <v>0.20999999999999996</v>
      </c>
      <c r="J7" s="148">
        <f t="shared" ref="J7" si="5">J5/I5-1</f>
        <v>0.21000000000000019</v>
      </c>
      <c r="K7" s="148">
        <f t="shared" ref="K7" si="6">K5/J5-1</f>
        <v>0.21000000000000041</v>
      </c>
      <c r="L7" s="148">
        <f t="shared" ref="L7" si="7">L5/K5-1</f>
        <v>0.21000000000000041</v>
      </c>
    </row>
    <row r="8" spans="1:27" x14ac:dyDescent="0.2">
      <c r="B8" s="76" t="s">
        <v>206</v>
      </c>
      <c r="C8" s="145">
        <v>75521</v>
      </c>
      <c r="D8" s="145">
        <v>72192</v>
      </c>
      <c r="E8" s="145">
        <v>80064</v>
      </c>
      <c r="F8" s="145">
        <v>77585</v>
      </c>
      <c r="G8" s="145">
        <v>70753</v>
      </c>
      <c r="H8" s="13">
        <f>H5*H9</f>
        <v>85611.130000000019</v>
      </c>
      <c r="I8" s="13">
        <f t="shared" ref="I8:L8" si="8">I5*I9</f>
        <v>103589.46730000003</v>
      </c>
      <c r="J8" s="13">
        <f t="shared" si="8"/>
        <v>125343.25543300004</v>
      </c>
      <c r="K8" s="13">
        <f t="shared" si="8"/>
        <v>151665.33907393011</v>
      </c>
      <c r="L8" s="13">
        <f t="shared" si="8"/>
        <v>183515.06027945547</v>
      </c>
      <c r="M8" s="80"/>
    </row>
    <row r="9" spans="1:27" s="69" customFormat="1" x14ac:dyDescent="0.2">
      <c r="A9" s="57">
        <f>AVERAGE(C9:G9)</f>
        <v>0.32753084961612255</v>
      </c>
      <c r="B9" s="76" t="s">
        <v>207</v>
      </c>
      <c r="C9" s="15">
        <f>C8/C5</f>
        <v>0.63291234715855282</v>
      </c>
      <c r="D9" s="15">
        <f t="shared" ref="D9:G9" si="9">D8/D5</f>
        <v>0.29059292355995653</v>
      </c>
      <c r="E9" s="15">
        <f t="shared" si="9"/>
        <v>0.26798499144807086</v>
      </c>
      <c r="F9" s="15">
        <f t="shared" si="9"/>
        <v>0.24094720496894409</v>
      </c>
      <c r="G9" s="15">
        <f t="shared" si="9"/>
        <v>0.20521678094508836</v>
      </c>
      <c r="H9" s="149">
        <f>G9</f>
        <v>0.20521678094508836</v>
      </c>
      <c r="I9" s="149">
        <f t="shared" ref="I9:L9" si="10">H9</f>
        <v>0.20521678094508836</v>
      </c>
      <c r="J9" s="149">
        <f t="shared" si="10"/>
        <v>0.20521678094508836</v>
      </c>
      <c r="K9" s="149">
        <f t="shared" si="10"/>
        <v>0.20521678094508836</v>
      </c>
      <c r="L9" s="149">
        <f t="shared" si="10"/>
        <v>0.20521678094508836</v>
      </c>
      <c r="M9" t="s">
        <v>208</v>
      </c>
    </row>
    <row r="10" spans="1:27" x14ac:dyDescent="0.2">
      <c r="B10" s="76" t="s">
        <v>209</v>
      </c>
      <c r="C10" s="15">
        <f>C8/C$32</f>
        <v>0.34060199884543224</v>
      </c>
      <c r="D10" s="15">
        <f t="shared" ref="D10:G10" si="11">D8/D$32</f>
        <v>0.13164785948224927</v>
      </c>
      <c r="E10" s="15">
        <f t="shared" si="11"/>
        <v>0.10960074249903491</v>
      </c>
      <c r="F10" s="15">
        <f t="shared" si="11"/>
        <v>8.5326690641943537E-2</v>
      </c>
      <c r="G10" s="15">
        <f t="shared" si="11"/>
        <v>6.5705137134504557E-2</v>
      </c>
      <c r="H10" s="15">
        <f>H8/H32</f>
        <v>6.2814441943530946E-2</v>
      </c>
      <c r="I10" s="15">
        <f t="shared" ref="I10:L10" si="12">I8/I32</f>
        <v>6.2369853003052318E-2</v>
      </c>
      <c r="J10" s="15">
        <f t="shared" si="12"/>
        <v>6.1628295036954751E-2</v>
      </c>
      <c r="K10" s="15">
        <f t="shared" si="12"/>
        <v>6.1536285405210688E-2</v>
      </c>
      <c r="L10" s="15">
        <f t="shared" si="12"/>
        <v>6.2089341581482035E-2</v>
      </c>
    </row>
    <row r="11" spans="1:27" x14ac:dyDescent="0.2">
      <c r="B11" s="150" t="s">
        <v>210</v>
      </c>
      <c r="C11" s="13">
        <f>C5-C8</f>
        <v>43802</v>
      </c>
      <c r="D11" s="13">
        <f>D5-D8</f>
        <v>176238</v>
      </c>
      <c r="E11" s="13">
        <f>E5-E8</f>
        <v>218699</v>
      </c>
      <c r="F11" s="13">
        <f>F5-F8</f>
        <v>244415</v>
      </c>
      <c r="G11" s="13">
        <f>G5-G8</f>
        <v>274019</v>
      </c>
      <c r="H11" s="13">
        <f t="shared" ref="H11:L11" si="13">H5-H8</f>
        <v>331562.99000000011</v>
      </c>
      <c r="I11" s="13">
        <f t="shared" si="13"/>
        <v>401191.21790000011</v>
      </c>
      <c r="J11" s="13">
        <f t="shared" si="13"/>
        <v>485441.37365900015</v>
      </c>
      <c r="K11" s="13">
        <f t="shared" si="13"/>
        <v>587384.06212739041</v>
      </c>
      <c r="L11" s="13">
        <f t="shared" si="13"/>
        <v>710734.7151741425</v>
      </c>
    </row>
    <row r="12" spans="1:27" x14ac:dyDescent="0.2">
      <c r="B12" s="76" t="s">
        <v>211</v>
      </c>
      <c r="C12" s="15">
        <f>C11/C5</f>
        <v>0.36708765284144718</v>
      </c>
      <c r="D12" s="15">
        <f>D11/D5</f>
        <v>0.70940707644004353</v>
      </c>
      <c r="E12" s="15">
        <f>E11/E5</f>
        <v>0.73201500855192914</v>
      </c>
      <c r="F12" s="15">
        <f>F11/F5</f>
        <v>0.75905279503105594</v>
      </c>
      <c r="G12" s="15">
        <f>G11/G5</f>
        <v>0.79478321905491167</v>
      </c>
      <c r="H12" s="15">
        <f t="shared" ref="H12:L12" si="14">H11/H5</f>
        <v>0.79478321905491167</v>
      </c>
      <c r="I12" s="15">
        <f t="shared" si="14"/>
        <v>0.79478321905491167</v>
      </c>
      <c r="J12" s="15">
        <f t="shared" si="14"/>
        <v>0.79478321905491167</v>
      </c>
      <c r="K12" s="15">
        <f t="shared" si="14"/>
        <v>0.79478321905491167</v>
      </c>
      <c r="L12" s="15">
        <f t="shared" si="14"/>
        <v>0.79478321905491156</v>
      </c>
    </row>
    <row r="13" spans="1:27" x14ac:dyDescent="0.2">
      <c r="B13" s="150"/>
      <c r="C13" s="13"/>
      <c r="D13" s="13"/>
      <c r="E13" s="13"/>
      <c r="F13" s="13"/>
      <c r="G13" s="151"/>
    </row>
    <row r="14" spans="1:27" x14ac:dyDescent="0.2">
      <c r="B14" s="70" t="s">
        <v>212</v>
      </c>
      <c r="C14" s="145">
        <v>82951</v>
      </c>
      <c r="D14" s="145">
        <v>264044</v>
      </c>
      <c r="E14" s="145">
        <v>399552</v>
      </c>
      <c r="F14" s="145">
        <v>545470</v>
      </c>
      <c r="G14" s="145">
        <v>697273</v>
      </c>
      <c r="H14" s="146">
        <f>H43*H41</f>
        <v>909922.57691159297</v>
      </c>
      <c r="I14" s="146">
        <f>I43*I41</f>
        <v>1119210.1863038081</v>
      </c>
      <c r="J14" s="146">
        <f>J43*J41</f>
        <v>1385068.1181970723</v>
      </c>
      <c r="K14" s="146">
        <f>K43*K41</f>
        <v>1686453.1921518471</v>
      </c>
      <c r="L14" s="146">
        <f>L43*L41</f>
        <v>2021090.752162056</v>
      </c>
    </row>
    <row r="15" spans="1:27" x14ac:dyDescent="0.2">
      <c r="B15" s="76" t="s">
        <v>110</v>
      </c>
      <c r="C15" s="23">
        <f t="shared" ref="C15:G15" si="15">C14/C$32</f>
        <v>0.37411152402944148</v>
      </c>
      <c r="D15" s="15">
        <f t="shared" si="15"/>
        <v>0.48150525555644708</v>
      </c>
      <c r="E15" s="15">
        <f t="shared" si="15"/>
        <v>0.54695238642803756</v>
      </c>
      <c r="F15" s="15">
        <f t="shared" si="15"/>
        <v>0.59989881993247329</v>
      </c>
      <c r="G15" s="15">
        <f t="shared" si="15"/>
        <v>0.64752615557202375</v>
      </c>
      <c r="H15" s="149">
        <f>H14/H32</f>
        <v>0.66762673125002925</v>
      </c>
      <c r="I15" s="149">
        <f t="shared" ref="I15:L15" si="16">I14/I32</f>
        <v>0.67386170253321964</v>
      </c>
      <c r="J15" s="149">
        <f t="shared" si="16"/>
        <v>0.68100502368199778</v>
      </c>
      <c r="K15" s="149">
        <f t="shared" si="16"/>
        <v>0.68425696727053431</v>
      </c>
      <c r="L15" s="149">
        <f t="shared" si="16"/>
        <v>0.68380324692192451</v>
      </c>
    </row>
    <row r="16" spans="1:27" x14ac:dyDescent="0.2">
      <c r="B16" s="76" t="s">
        <v>205</v>
      </c>
      <c r="C16" s="23"/>
      <c r="D16" s="15">
        <f>D14/C14-1</f>
        <v>2.1831322105821509</v>
      </c>
      <c r="E16" s="15">
        <f>E14/D14-1</f>
        <v>0.51320234506370155</v>
      </c>
      <c r="F16" s="15">
        <f t="shared" ref="F16:H16" si="17">F14/E14-1</f>
        <v>0.36520402851193334</v>
      </c>
      <c r="G16" s="15">
        <f t="shared" si="17"/>
        <v>0.27829761490091109</v>
      </c>
      <c r="H16" s="15">
        <f t="shared" si="17"/>
        <v>0.30497319831915615</v>
      </c>
      <c r="I16" s="15">
        <f t="shared" ref="I16" si="18">I14/H14-1</f>
        <v>0.2300059529268601</v>
      </c>
      <c r="J16" s="15">
        <f t="shared" ref="J16" si="19">J14/I14-1</f>
        <v>0.23754066496773052</v>
      </c>
      <c r="K16" s="15">
        <f t="shared" ref="K16" si="20">K14/J14-1</f>
        <v>0.21759584961574618</v>
      </c>
      <c r="L16" s="15">
        <f t="shared" ref="L16" si="21">L14/K14-1</f>
        <v>0.198426829494879</v>
      </c>
    </row>
    <row r="17" spans="1:13" x14ac:dyDescent="0.2">
      <c r="B17" s="76" t="s">
        <v>206</v>
      </c>
      <c r="C17" s="152">
        <f>C14*C18</f>
        <v>49770.6</v>
      </c>
      <c r="D17" s="145">
        <v>159432</v>
      </c>
      <c r="E17" s="145">
        <v>271035</v>
      </c>
      <c r="F17" s="145">
        <v>390522</v>
      </c>
      <c r="G17" s="145">
        <v>505631</v>
      </c>
      <c r="H17" s="13">
        <f>H14*H18</f>
        <v>642841.78691660892</v>
      </c>
      <c r="I17" s="13">
        <f t="shared" ref="I17:L17" si="22">I14*I18</f>
        <v>801194.58264973434</v>
      </c>
      <c r="J17" s="13">
        <f t="shared" si="22"/>
        <v>991474.1291850867</v>
      </c>
      <c r="K17" s="13">
        <f t="shared" si="22"/>
        <v>1201973.0599442907</v>
      </c>
      <c r="L17" s="13">
        <f t="shared" si="22"/>
        <v>1444682.519679338</v>
      </c>
      <c r="M17" t="s">
        <v>213</v>
      </c>
    </row>
    <row r="18" spans="1:13" s="69" customFormat="1" x14ac:dyDescent="0.2">
      <c r="A18" s="57">
        <f>AVERAGE(C18:G18)</f>
        <v>0.66464948337830276</v>
      </c>
      <c r="B18" s="76" t="s">
        <v>207</v>
      </c>
      <c r="C18" s="149">
        <f>0.6</f>
        <v>0.6</v>
      </c>
      <c r="D18" s="15">
        <f t="shared" ref="D18:G18" si="23">D17/D14</f>
        <v>0.60380845616639656</v>
      </c>
      <c r="E18" s="15">
        <f t="shared" si="23"/>
        <v>0.67834724891878906</v>
      </c>
      <c r="F18" s="15">
        <f t="shared" si="23"/>
        <v>0.71593671512640478</v>
      </c>
      <c r="G18" s="15">
        <f t="shared" si="23"/>
        <v>0.72515499667992311</v>
      </c>
      <c r="H18" s="149">
        <f>AVERAGE(E18:G18)</f>
        <v>0.70647965357503895</v>
      </c>
      <c r="I18" s="149">
        <f t="shared" ref="I18:L18" si="24">AVERAGE(F18:H18)</f>
        <v>0.71585712179378891</v>
      </c>
      <c r="J18" s="149">
        <f t="shared" si="24"/>
        <v>0.7158305906829171</v>
      </c>
      <c r="K18" s="149">
        <f t="shared" si="24"/>
        <v>0.71272245535058165</v>
      </c>
      <c r="L18" s="149">
        <f t="shared" si="24"/>
        <v>0.71480338927576259</v>
      </c>
    </row>
    <row r="19" spans="1:13" x14ac:dyDescent="0.2">
      <c r="B19" s="76" t="s">
        <v>209</v>
      </c>
      <c r="C19" s="15">
        <f>C17/C$32</f>
        <v>0.22446691441766489</v>
      </c>
      <c r="D19" s="15">
        <f t="shared" ref="D19:L19" si="25">D17/D$32</f>
        <v>0.29073694499354452</v>
      </c>
      <c r="E19" s="15">
        <f t="shared" si="25"/>
        <v>0.37102364662302567</v>
      </c>
      <c r="F19" s="15">
        <f t="shared" si="25"/>
        <v>0.42948959055066149</v>
      </c>
      <c r="G19" s="15">
        <f t="shared" si="25"/>
        <v>0.46955682719399422</v>
      </c>
      <c r="H19" s="15">
        <f t="shared" si="25"/>
        <v>0.47166470181095627</v>
      </c>
      <c r="I19" s="15">
        <f t="shared" si="25"/>
        <v>0.48238869886249297</v>
      </c>
      <c r="J19" s="15">
        <f t="shared" si="25"/>
        <v>0.48748422836031841</v>
      </c>
      <c r="K19" s="15">
        <f t="shared" si="25"/>
        <v>0.48768530580379776</v>
      </c>
      <c r="L19" s="15">
        <f t="shared" si="25"/>
        <v>0.4887848784975628</v>
      </c>
    </row>
    <row r="20" spans="1:13" x14ac:dyDescent="0.2">
      <c r="B20" s="150" t="s">
        <v>210</v>
      </c>
      <c r="C20" s="13">
        <f>C14-C17</f>
        <v>33180.400000000001</v>
      </c>
      <c r="D20" s="13">
        <f>D14-D17</f>
        <v>104612</v>
      </c>
      <c r="E20" s="13">
        <f t="shared" ref="E20:L20" si="26">E14-E17</f>
        <v>128517</v>
      </c>
      <c r="F20" s="13">
        <f t="shared" si="26"/>
        <v>154948</v>
      </c>
      <c r="G20" s="13">
        <f t="shared" si="26"/>
        <v>191642</v>
      </c>
      <c r="H20" s="13">
        <f t="shared" si="26"/>
        <v>267080.78999498405</v>
      </c>
      <c r="I20" s="13">
        <f t="shared" si="26"/>
        <v>318015.60365407378</v>
      </c>
      <c r="J20" s="13">
        <f t="shared" si="26"/>
        <v>393593.9890119856</v>
      </c>
      <c r="K20" s="13">
        <f t="shared" si="26"/>
        <v>484480.13220755639</v>
      </c>
      <c r="L20" s="13">
        <f t="shared" si="26"/>
        <v>576408.23248271807</v>
      </c>
    </row>
    <row r="21" spans="1:13" x14ac:dyDescent="0.2">
      <c r="B21" s="76" t="s">
        <v>211</v>
      </c>
      <c r="C21" s="15">
        <f>C20/C14</f>
        <v>0.4</v>
      </c>
      <c r="D21" s="15">
        <f t="shared" ref="D21:L21" si="27">D20/D14</f>
        <v>0.3961915438336035</v>
      </c>
      <c r="E21" s="15">
        <f t="shared" si="27"/>
        <v>0.32165275108121094</v>
      </c>
      <c r="F21" s="15">
        <f t="shared" si="27"/>
        <v>0.28406328487359522</v>
      </c>
      <c r="G21" s="15">
        <f t="shared" si="27"/>
        <v>0.27484500332007694</v>
      </c>
      <c r="H21" s="15">
        <f t="shared" si="27"/>
        <v>0.29352034642496105</v>
      </c>
      <c r="I21" s="15">
        <f t="shared" si="27"/>
        <v>0.28414287820621109</v>
      </c>
      <c r="J21" s="15">
        <f t="shared" si="27"/>
        <v>0.2841694093170829</v>
      </c>
      <c r="K21" s="15">
        <f t="shared" si="27"/>
        <v>0.2872775446494184</v>
      </c>
      <c r="L21" s="15">
        <f t="shared" si="27"/>
        <v>0.28519661072423741</v>
      </c>
    </row>
    <row r="22" spans="1:13" x14ac:dyDescent="0.2">
      <c r="B22" s="150"/>
      <c r="C22" s="13"/>
      <c r="D22" s="13"/>
      <c r="E22" s="13"/>
      <c r="F22" s="13"/>
      <c r="G22" s="13"/>
    </row>
    <row r="23" spans="1:13" x14ac:dyDescent="0.2">
      <c r="B23" s="70" t="s">
        <v>214</v>
      </c>
      <c r="C23" s="145">
        <v>19454</v>
      </c>
      <c r="D23" s="145">
        <v>35898</v>
      </c>
      <c r="E23" s="145">
        <v>32191</v>
      </c>
      <c r="F23" s="145">
        <v>41800</v>
      </c>
      <c r="G23" s="145">
        <v>34781</v>
      </c>
      <c r="H23" s="146">
        <f>G23*(1+H25)</f>
        <v>35824.43</v>
      </c>
      <c r="I23" s="146">
        <f t="shared" ref="I23:L23" si="28">H23*(1+I25)</f>
        <v>36899.162900000003</v>
      </c>
      <c r="J23" s="146">
        <f t="shared" si="28"/>
        <v>38006.137787000007</v>
      </c>
      <c r="K23" s="146">
        <f t="shared" si="28"/>
        <v>39146.321920610011</v>
      </c>
      <c r="L23" s="146">
        <f t="shared" si="28"/>
        <v>40320.711578228314</v>
      </c>
    </row>
    <row r="24" spans="1:13" x14ac:dyDescent="0.2">
      <c r="B24" s="76" t="s">
        <v>110</v>
      </c>
      <c r="C24" s="15">
        <f>C23/C$32</f>
        <v>8.7738129600230919E-2</v>
      </c>
      <c r="D24" s="15">
        <f>D23/D$32</f>
        <v>6.5462860977584553E-2</v>
      </c>
      <c r="E24" s="15">
        <f>E23/E$32</f>
        <v>4.4066715400010406E-2</v>
      </c>
      <c r="F24" s="15">
        <f>F23/F$32</f>
        <v>4.5970943724086354E-2</v>
      </c>
      <c r="G24" s="15">
        <f>G23/G$32</f>
        <v>3.2299554431263734E-2</v>
      </c>
      <c r="H24" s="153">
        <f>H23/H32</f>
        <v>2.6285035349902376E-2</v>
      </c>
      <c r="I24" s="153">
        <f t="shared" ref="I24:L24" si="29">I23/I32</f>
        <v>2.2216499669254319E-2</v>
      </c>
      <c r="J24" s="153">
        <f t="shared" si="29"/>
        <v>1.868671325522098E-2</v>
      </c>
      <c r="K24" s="153">
        <f t="shared" si="29"/>
        <v>1.588312301927253E-2</v>
      </c>
      <c r="L24" s="153">
        <f t="shared" si="29"/>
        <v>1.3641858222299269E-2</v>
      </c>
    </row>
    <row r="25" spans="1:13" x14ac:dyDescent="0.2">
      <c r="B25" s="76" t="s">
        <v>205</v>
      </c>
      <c r="C25" s="15"/>
      <c r="D25" s="15">
        <f>D23/C23-1</f>
        <v>0.84527603577670396</v>
      </c>
      <c r="E25" s="15">
        <f t="shared" ref="E25:G25" si="30">E23/D23-1</f>
        <v>-0.10326480583876541</v>
      </c>
      <c r="F25" s="15">
        <f t="shared" si="30"/>
        <v>0.29849958062812587</v>
      </c>
      <c r="G25" s="15">
        <f t="shared" si="30"/>
        <v>-0.16791866028708136</v>
      </c>
      <c r="H25" s="15">
        <v>0.03</v>
      </c>
      <c r="I25" s="15">
        <v>0.03</v>
      </c>
      <c r="J25" s="15">
        <v>0.03</v>
      </c>
      <c r="K25" s="15">
        <v>0.03</v>
      </c>
      <c r="L25" s="15">
        <v>0.03</v>
      </c>
    </row>
    <row r="26" spans="1:13" x14ac:dyDescent="0.2">
      <c r="B26" s="76" t="s">
        <v>206</v>
      </c>
      <c r="C26" s="145">
        <v>18906</v>
      </c>
      <c r="D26" s="145">
        <v>45575</v>
      </c>
      <c r="E26" s="145">
        <v>47446</v>
      </c>
      <c r="F26" s="145">
        <v>55913</v>
      </c>
      <c r="G26" s="145">
        <v>50237</v>
      </c>
      <c r="H26" s="13">
        <f>H23*H27</f>
        <v>46552.432942094951</v>
      </c>
      <c r="I26" s="13">
        <f t="shared" ref="I26:L26" si="31">I23*I27</f>
        <v>50366.857144316695</v>
      </c>
      <c r="J26" s="13">
        <f t="shared" si="31"/>
        <v>52603.150012566504</v>
      </c>
      <c r="K26" s="13">
        <f t="shared" si="31"/>
        <v>53478.017227496654</v>
      </c>
      <c r="L26" s="13">
        <f t="shared" si="31"/>
        <v>55311.977874652468</v>
      </c>
    </row>
    <row r="27" spans="1:13" s="69" customFormat="1" x14ac:dyDescent="0.2">
      <c r="A27" s="57">
        <f>AVERAGE(C27:G27)</f>
        <v>1.2994605341130328</v>
      </c>
      <c r="B27" s="76" t="s">
        <v>207</v>
      </c>
      <c r="C27" s="15">
        <f>C26/C23</f>
        <v>0.971830985915493</v>
      </c>
      <c r="D27" s="15">
        <f t="shared" ref="D27:G27" si="32">D26/D23</f>
        <v>1.2695693353390161</v>
      </c>
      <c r="E27" s="15">
        <f t="shared" si="32"/>
        <v>1.4738902177627287</v>
      </c>
      <c r="F27" s="15">
        <f t="shared" si="32"/>
        <v>1.3376315789473685</v>
      </c>
      <c r="G27" s="15">
        <f t="shared" si="32"/>
        <v>1.4443805526005578</v>
      </c>
      <c r="H27" s="15">
        <f>AVERAGE(C27:G27)</f>
        <v>1.2994605341130328</v>
      </c>
      <c r="I27" s="15">
        <f t="shared" ref="I27:L27" si="33">AVERAGE(D27:H27)</f>
        <v>1.3649864437525407</v>
      </c>
      <c r="J27" s="15">
        <f t="shared" si="33"/>
        <v>1.3840698654352457</v>
      </c>
      <c r="K27" s="15">
        <f t="shared" si="33"/>
        <v>1.366105794969749</v>
      </c>
      <c r="L27" s="15">
        <f t="shared" si="33"/>
        <v>1.3718006381742252</v>
      </c>
    </row>
    <row r="28" spans="1:13" x14ac:dyDescent="0.2">
      <c r="B28" s="76" t="s">
        <v>215</v>
      </c>
      <c r="C28" s="15">
        <f>C26/C$32</f>
        <v>8.52666329917737E-2</v>
      </c>
      <c r="D28" s="15">
        <f t="shared" ref="D28:L28" si="34">D26/D$32</f>
        <v>8.3109640900702442E-2</v>
      </c>
      <c r="E28" s="15">
        <f t="shared" si="34"/>
        <v>6.4949500757009532E-2</v>
      </c>
      <c r="F28" s="15">
        <f t="shared" si="34"/>
        <v>6.149218603935025E-2</v>
      </c>
      <c r="G28" s="15">
        <f t="shared" si="34"/>
        <v>4.6652848278180503E-2</v>
      </c>
      <c r="H28" s="15">
        <f t="shared" si="34"/>
        <v>3.4156366074964084E-2</v>
      </c>
      <c r="I28" s="15">
        <f t="shared" si="34"/>
        <v>3.032522087616495E-2</v>
      </c>
      <c r="J28" s="15">
        <f t="shared" si="34"/>
        <v>2.586371670058072E-2</v>
      </c>
      <c r="K28" s="15">
        <f t="shared" si="34"/>
        <v>2.1698026398845622E-2</v>
      </c>
      <c r="L28" s="15">
        <f t="shared" si="34"/>
        <v>1.8713909815232434E-2</v>
      </c>
    </row>
    <row r="29" spans="1:13" x14ac:dyDescent="0.2">
      <c r="B29" s="150" t="s">
        <v>210</v>
      </c>
      <c r="C29" s="13">
        <f>C23-C26</f>
        <v>548</v>
      </c>
      <c r="D29" s="13">
        <f t="shared" ref="D29:L29" si="35">D23-D26</f>
        <v>-9677</v>
      </c>
      <c r="E29" s="13">
        <f t="shared" si="35"/>
        <v>-15255</v>
      </c>
      <c r="F29" s="13">
        <f t="shared" si="35"/>
        <v>-14113</v>
      </c>
      <c r="G29" s="13">
        <f t="shared" si="35"/>
        <v>-15456</v>
      </c>
      <c r="H29" s="13">
        <f t="shared" si="35"/>
        <v>-10728.00294209495</v>
      </c>
      <c r="I29" s="13">
        <f t="shared" si="35"/>
        <v>-13467.694244316692</v>
      </c>
      <c r="J29" s="13">
        <f t="shared" si="35"/>
        <v>-14597.012225566497</v>
      </c>
      <c r="K29" s="13">
        <f t="shared" si="35"/>
        <v>-14331.695306886642</v>
      </c>
      <c r="L29" s="13">
        <f t="shared" si="35"/>
        <v>-14991.266296424154</v>
      </c>
    </row>
    <row r="30" spans="1:13" x14ac:dyDescent="0.2">
      <c r="B30" s="76" t="s">
        <v>211</v>
      </c>
      <c r="C30" s="15">
        <f>C29/C23</f>
        <v>2.8169014084507043E-2</v>
      </c>
      <c r="D30" s="15">
        <f t="shared" ref="D30:L30" si="36">D29/D23</f>
        <v>-0.26956933533901611</v>
      </c>
      <c r="E30" s="15">
        <f t="shared" si="36"/>
        <v>-0.47389021776272872</v>
      </c>
      <c r="F30" s="15">
        <f t="shared" si="36"/>
        <v>-0.33763157894736839</v>
      </c>
      <c r="G30" s="15">
        <f t="shared" si="36"/>
        <v>-0.44438055260055775</v>
      </c>
      <c r="H30" s="15">
        <f t="shared" si="36"/>
        <v>-0.29946053411303264</v>
      </c>
      <c r="I30" s="15">
        <f t="shared" si="36"/>
        <v>-0.3649864437525408</v>
      </c>
      <c r="J30" s="15">
        <f t="shared" si="36"/>
        <v>-0.38406986543524563</v>
      </c>
      <c r="K30" s="15">
        <f t="shared" si="36"/>
        <v>-0.36610579496974904</v>
      </c>
      <c r="L30" s="15">
        <f t="shared" si="36"/>
        <v>-0.3718006381742251</v>
      </c>
    </row>
    <row r="31" spans="1:13" x14ac:dyDescent="0.2">
      <c r="C31" s="13"/>
      <c r="D31" s="13"/>
      <c r="E31" s="13"/>
      <c r="F31" s="13"/>
      <c r="G31" s="13"/>
      <c r="H31" s="13"/>
    </row>
    <row r="32" spans="1:13" s="76" customFormat="1" x14ac:dyDescent="0.2">
      <c r="B32" s="70" t="s">
        <v>216</v>
      </c>
      <c r="C32" s="154">
        <f>'Vertical Statements '!C4</f>
        <v>221728</v>
      </c>
      <c r="D32" s="154">
        <f>'Vertical Statements '!D4</f>
        <v>548372</v>
      </c>
      <c r="E32" s="154">
        <f>'Vertical Statements '!E4</f>
        <v>730506</v>
      </c>
      <c r="F32" s="154">
        <f>'Vertical Statements '!F4</f>
        <v>909270</v>
      </c>
      <c r="G32" s="154">
        <f>'Vertical Statements '!G4</f>
        <v>1076826</v>
      </c>
      <c r="H32" s="146">
        <f>H5+H14+H23</f>
        <v>1362921.1269115929</v>
      </c>
      <c r="I32" s="146">
        <f t="shared" ref="I32:L32" si="37">I5+I14+I23</f>
        <v>1660890.0344038084</v>
      </c>
      <c r="J32" s="146">
        <f t="shared" si="37"/>
        <v>2033858.8850760725</v>
      </c>
      <c r="K32" s="146">
        <f t="shared" si="37"/>
        <v>2464648.9152737777</v>
      </c>
      <c r="L32" s="146">
        <f t="shared" si="37"/>
        <v>2955661.2391938828</v>
      </c>
    </row>
    <row r="33" spans="1:12" x14ac:dyDescent="0.2">
      <c r="B33" s="76" t="s">
        <v>217</v>
      </c>
      <c r="C33" s="76"/>
      <c r="D33" s="155">
        <f>D32/C32-1</f>
        <v>1.4731743397315631</v>
      </c>
      <c r="E33" s="155">
        <f t="shared" ref="E33:H33" si="38">E32/D32-1</f>
        <v>0.33213584938691243</v>
      </c>
      <c r="F33" s="155">
        <f t="shared" si="38"/>
        <v>0.24471256909594175</v>
      </c>
      <c r="G33" s="155">
        <f t="shared" si="38"/>
        <v>0.18427529776634</v>
      </c>
      <c r="H33" s="155">
        <f t="shared" si="38"/>
        <v>0.26568371019235504</v>
      </c>
      <c r="I33" s="155">
        <f t="shared" ref="I33:L33" si="39">I32/H32-1</f>
        <v>0.21862520259511942</v>
      </c>
      <c r="J33" s="155">
        <f t="shared" si="39"/>
        <v>0.2245596294435861</v>
      </c>
      <c r="K33" s="155">
        <f t="shared" si="39"/>
        <v>0.21180920336151643</v>
      </c>
      <c r="L33" s="155">
        <f t="shared" si="39"/>
        <v>0.19922201530499217</v>
      </c>
    </row>
    <row r="34" spans="1:12" x14ac:dyDescent="0.2">
      <c r="B34" t="s">
        <v>218</v>
      </c>
      <c r="H34" s="13">
        <f>H8+H17+H26</f>
        <v>775005.34985870391</v>
      </c>
      <c r="I34" s="13">
        <f t="shared" ref="I34:L34" si="40">I8+I17+I26</f>
        <v>955150.90709405101</v>
      </c>
      <c r="J34" s="13">
        <f t="shared" si="40"/>
        <v>1169420.5346306532</v>
      </c>
      <c r="K34" s="13">
        <f t="shared" si="40"/>
        <v>1407116.4162457176</v>
      </c>
      <c r="L34" s="13">
        <f t="shared" si="40"/>
        <v>1683509.557833446</v>
      </c>
    </row>
    <row r="35" spans="1:12" x14ac:dyDescent="0.2">
      <c r="B35" s="76" t="s">
        <v>219</v>
      </c>
      <c r="C35" s="79"/>
      <c r="D35" s="79"/>
      <c r="E35" s="79"/>
      <c r="F35" s="79"/>
      <c r="G35" s="79"/>
      <c r="H35" s="15">
        <f>H34/H32</f>
        <v>0.56863550982945132</v>
      </c>
      <c r="I35" s="15">
        <f t="shared" ref="I35:L35" si="41">I34/I32</f>
        <v>0.57508377274171019</v>
      </c>
      <c r="J35" s="15">
        <f t="shared" si="41"/>
        <v>0.57497624009785386</v>
      </c>
      <c r="K35" s="15">
        <f t="shared" si="41"/>
        <v>0.57091961760785415</v>
      </c>
      <c r="L35" s="15">
        <f t="shared" si="41"/>
        <v>0.56958812989427732</v>
      </c>
    </row>
    <row r="37" spans="1:12" s="141" customFormat="1" outlineLevel="1" x14ac:dyDescent="0.2">
      <c r="A37" s="88" t="s">
        <v>0</v>
      </c>
      <c r="B37" s="88" t="s">
        <v>220</v>
      </c>
      <c r="C37" s="7"/>
      <c r="D37" s="7"/>
      <c r="E37" s="7"/>
      <c r="F37" s="7"/>
      <c r="G37" s="7"/>
      <c r="H37" s="7"/>
      <c r="I37" s="7"/>
      <c r="J37" s="7"/>
      <c r="K37" s="7"/>
      <c r="L37" s="7"/>
    </row>
    <row r="38" spans="1:12" s="142" customFormat="1" x14ac:dyDescent="0.2">
      <c r="A38" s="156"/>
      <c r="B38" s="157" t="s">
        <v>202</v>
      </c>
      <c r="C38" s="156"/>
      <c r="D38" s="156"/>
      <c r="E38" s="156"/>
      <c r="F38" s="156"/>
      <c r="G38" s="156"/>
      <c r="H38" s="156"/>
      <c r="I38" s="156"/>
      <c r="J38" s="156"/>
      <c r="K38" s="156"/>
      <c r="L38" s="156"/>
    </row>
    <row r="39" spans="1:12" x14ac:dyDescent="0.2">
      <c r="A39" s="158"/>
      <c r="B39" s="158"/>
      <c r="C39" s="310" t="s">
        <v>3</v>
      </c>
      <c r="D39" s="310"/>
      <c r="E39" s="310"/>
      <c r="F39" s="310"/>
      <c r="G39" s="310"/>
      <c r="H39" s="311" t="s">
        <v>4</v>
      </c>
      <c r="I39" s="311"/>
      <c r="J39" s="311"/>
      <c r="K39" s="311"/>
      <c r="L39" s="311"/>
    </row>
    <row r="40" spans="1:12" x14ac:dyDescent="0.2">
      <c r="A40" s="158"/>
      <c r="B40" s="158"/>
      <c r="C40" s="10" t="s">
        <v>7</v>
      </c>
      <c r="D40" s="10" t="s">
        <v>8</v>
      </c>
      <c r="E40" s="10" t="s">
        <v>9</v>
      </c>
      <c r="F40" s="10" t="s">
        <v>10</v>
      </c>
      <c r="G40" s="10" t="s">
        <v>11</v>
      </c>
      <c r="H40" s="74" t="s">
        <v>12</v>
      </c>
      <c r="I40" s="74" t="s">
        <v>13</v>
      </c>
      <c r="J40" s="74" t="s">
        <v>14</v>
      </c>
      <c r="K40" s="74" t="s">
        <v>15</v>
      </c>
      <c r="L40" s="74" t="s">
        <v>16</v>
      </c>
    </row>
    <row r="41" spans="1:12" x14ac:dyDescent="0.2">
      <c r="A41" s="158"/>
      <c r="B41" s="158" t="s">
        <v>221</v>
      </c>
      <c r="C41" s="91">
        <f>C14/C43</f>
        <v>3.606565217391304E-2</v>
      </c>
      <c r="D41" s="91">
        <f>D14/D43</f>
        <v>3.2598024691358023E-2</v>
      </c>
      <c r="E41" s="91">
        <f>E14/E43</f>
        <v>2.7180408163265307E-2</v>
      </c>
      <c r="F41" s="91">
        <f>F14/F43</f>
        <v>2.25400826446281E-2</v>
      </c>
      <c r="G41" s="91">
        <f>G14/G43</f>
        <v>2.0568525073746312E-2</v>
      </c>
      <c r="H41" s="159">
        <f>G41+H72</f>
        <v>1.9068525073746311E-2</v>
      </c>
      <c r="I41" s="159">
        <f>H41+I72</f>
        <v>1.831852507374631E-2</v>
      </c>
      <c r="J41" s="159">
        <f>I41+J72</f>
        <v>1.794352507374631E-2</v>
      </c>
      <c r="K41" s="159">
        <f>J41+K72</f>
        <v>1.7756025073746309E-2</v>
      </c>
      <c r="L41" s="159">
        <f>K41+L72</f>
        <v>1.7662275073746309E-2</v>
      </c>
    </row>
    <row r="42" spans="1:12" x14ac:dyDescent="0.2">
      <c r="A42" s="158"/>
      <c r="B42" s="158" t="s">
        <v>222</v>
      </c>
      <c r="C42" s="160">
        <v>33700000</v>
      </c>
      <c r="D42" s="160">
        <v>74000000</v>
      </c>
      <c r="E42" s="160">
        <v>87100000</v>
      </c>
      <c r="F42" s="160">
        <v>90700000</v>
      </c>
      <c r="G42" s="160">
        <v>91300000</v>
      </c>
      <c r="H42" s="161">
        <f>H48*H52</f>
        <v>103442900.00000001</v>
      </c>
      <c r="I42" s="161">
        <f>I48*I52</f>
        <v>117200805.70000002</v>
      </c>
      <c r="J42" s="161">
        <f>J48*J52</f>
        <v>132788512.85810004</v>
      </c>
      <c r="K42" s="161">
        <f>K48*K52</f>
        <v>150449385.06822738</v>
      </c>
      <c r="L42" s="161">
        <f>L48*L52</f>
        <v>170459153.28230166</v>
      </c>
    </row>
    <row r="43" spans="1:12" x14ac:dyDescent="0.2">
      <c r="A43" s="158"/>
      <c r="B43" s="158" t="s">
        <v>223</v>
      </c>
      <c r="C43" s="160">
        <v>2300000</v>
      </c>
      <c r="D43" s="160">
        <v>8100000</v>
      </c>
      <c r="E43" s="160">
        <v>14700000</v>
      </c>
      <c r="F43" s="160">
        <v>24200000</v>
      </c>
      <c r="G43" s="160">
        <v>33900000</v>
      </c>
      <c r="H43" s="162">
        <f>H42*H73</f>
        <v>47718561.000000007</v>
      </c>
      <c r="I43" s="162">
        <f>I42*I73</f>
        <v>61097177.955000013</v>
      </c>
      <c r="J43" s="162">
        <f>J42*J73</f>
        <v>77190413.39450103</v>
      </c>
      <c r="K43" s="162">
        <f>K42*K73</f>
        <v>94979207.629381076</v>
      </c>
      <c r="L43" s="162">
        <f>L42*L73</f>
        <v>114429808.37538086</v>
      </c>
    </row>
    <row r="44" spans="1:12" x14ac:dyDescent="0.2">
      <c r="A44" s="158"/>
      <c r="B44" s="76" t="s">
        <v>224</v>
      </c>
      <c r="C44" s="163"/>
      <c r="D44" s="91">
        <f t="shared" ref="D44:L44" si="42">D42/C42-1</f>
        <v>1.1958456973293767</v>
      </c>
      <c r="E44" s="91">
        <f t="shared" si="42"/>
        <v>0.17702702702702711</v>
      </c>
      <c r="F44" s="91">
        <f t="shared" si="42"/>
        <v>4.1331802525832462E-2</v>
      </c>
      <c r="G44" s="91">
        <f t="shared" si="42"/>
        <v>6.6152149944873617E-3</v>
      </c>
      <c r="H44" s="91">
        <f>H42/G42-1</f>
        <v>0.13300000000000023</v>
      </c>
      <c r="I44" s="91">
        <f t="shared" si="42"/>
        <v>0.13300000000000001</v>
      </c>
      <c r="J44" s="91">
        <f t="shared" si="42"/>
        <v>0.13300000000000023</v>
      </c>
      <c r="K44" s="91">
        <f t="shared" si="42"/>
        <v>0.13300000000000023</v>
      </c>
      <c r="L44" s="91">
        <f t="shared" si="42"/>
        <v>0.13300000000000023</v>
      </c>
    </row>
    <row r="45" spans="1:12" s="69" customFormat="1" x14ac:dyDescent="0.2">
      <c r="A45" s="164"/>
      <c r="B45" s="76" t="s">
        <v>225</v>
      </c>
      <c r="C45" s="165"/>
      <c r="D45" s="91">
        <f t="shared" ref="D45:L45" si="43">D43/C43-1</f>
        <v>2.5217391304347827</v>
      </c>
      <c r="E45" s="91">
        <f t="shared" si="43"/>
        <v>0.81481481481481488</v>
      </c>
      <c r="F45" s="91">
        <f t="shared" si="43"/>
        <v>0.6462585034013606</v>
      </c>
      <c r="G45" s="91">
        <f t="shared" si="43"/>
        <v>0.40082644628099184</v>
      </c>
      <c r="H45" s="91">
        <f>H43/G43-1</f>
        <v>0.40762716814159305</v>
      </c>
      <c r="I45" s="91">
        <f t="shared" si="43"/>
        <v>0.28036505449106075</v>
      </c>
      <c r="J45" s="91">
        <f t="shared" si="43"/>
        <v>0.26340390797352686</v>
      </c>
      <c r="K45" s="91">
        <f t="shared" si="43"/>
        <v>0.23045341322329671</v>
      </c>
      <c r="L45" s="91">
        <f t="shared" si="43"/>
        <v>0.20478798709184942</v>
      </c>
    </row>
    <row r="46" spans="1:12" x14ac:dyDescent="0.2">
      <c r="A46" s="158"/>
      <c r="B46" t="s">
        <v>226</v>
      </c>
      <c r="C46" s="103">
        <v>119000</v>
      </c>
      <c r="D46" s="103">
        <v>163000</v>
      </c>
      <c r="E46" s="103">
        <v>168000</v>
      </c>
      <c r="F46" s="103">
        <v>165000</v>
      </c>
      <c r="G46" s="103">
        <v>162000</v>
      </c>
      <c r="H46" s="158"/>
      <c r="I46" s="158"/>
      <c r="J46" s="158"/>
      <c r="K46" s="158"/>
      <c r="L46" s="158"/>
    </row>
    <row r="47" spans="1:12" x14ac:dyDescent="0.2">
      <c r="A47" s="158"/>
      <c r="B47" s="76" t="s">
        <v>205</v>
      </c>
      <c r="C47" s="103"/>
      <c r="D47" s="131">
        <f>D46/C46-1</f>
        <v>0.36974789915966388</v>
      </c>
      <c r="E47" s="131">
        <f>E46/D46-1</f>
        <v>3.0674846625766916E-2</v>
      </c>
      <c r="F47" s="131">
        <f>F46/E46-1</f>
        <v>-1.7857142857142905E-2</v>
      </c>
      <c r="G47" s="15">
        <f t="shared" ref="G47" si="44">G46/F46-1</f>
        <v>-1.8181818181818188E-2</v>
      </c>
      <c r="H47" s="158"/>
      <c r="I47" s="158"/>
      <c r="J47" s="158"/>
      <c r="K47" s="158"/>
      <c r="L47" s="158"/>
    </row>
    <row r="48" spans="1:12" x14ac:dyDescent="0.2">
      <c r="A48" s="158"/>
      <c r="B48" t="s">
        <v>227</v>
      </c>
      <c r="C48" s="103"/>
      <c r="D48" s="15"/>
      <c r="E48" s="15"/>
      <c r="F48" s="103">
        <v>146000</v>
      </c>
      <c r="G48" s="103">
        <v>144000</v>
      </c>
      <c r="H48" s="13">
        <f>G48*(1+H49)</f>
        <v>158400</v>
      </c>
      <c r="I48" s="13">
        <f t="shared" ref="I48:L48" si="45">H48*(1+I49)</f>
        <v>174240</v>
      </c>
      <c r="J48" s="13">
        <f t="shared" si="45"/>
        <v>191664.00000000003</v>
      </c>
      <c r="K48" s="13">
        <f t="shared" si="45"/>
        <v>210830.40000000005</v>
      </c>
      <c r="L48" s="13">
        <f t="shared" si="45"/>
        <v>231913.44000000009</v>
      </c>
    </row>
    <row r="49" spans="1:12" s="69" customFormat="1" x14ac:dyDescent="0.2">
      <c r="A49" s="164"/>
      <c r="B49" s="76" t="s">
        <v>205</v>
      </c>
      <c r="C49" s="166"/>
      <c r="D49" s="15"/>
      <c r="E49" s="15"/>
      <c r="F49" s="93"/>
      <c r="G49" s="93">
        <f>G48/F48-1</f>
        <v>-1.3698630136986356E-2</v>
      </c>
      <c r="H49" s="181">
        <v>0.1</v>
      </c>
      <c r="I49" s="181">
        <v>0.1</v>
      </c>
      <c r="J49" s="181">
        <v>0.1</v>
      </c>
      <c r="K49" s="181">
        <v>0.1</v>
      </c>
      <c r="L49" s="181">
        <v>0.1</v>
      </c>
    </row>
    <row r="50" spans="1:12" x14ac:dyDescent="0.2">
      <c r="A50" s="158"/>
      <c r="B50" t="s">
        <v>228</v>
      </c>
      <c r="C50" s="162">
        <f>C42/C46</f>
        <v>283.19327731092437</v>
      </c>
      <c r="D50" s="162">
        <f>D42/D46</f>
        <v>453.98773006134968</v>
      </c>
      <c r="E50" s="162">
        <f>E42/E46</f>
        <v>518.45238095238096</v>
      </c>
      <c r="F50" s="162">
        <f>F42/F46</f>
        <v>549.69696969696975</v>
      </c>
      <c r="G50" s="162">
        <f>G42/G46</f>
        <v>563.58024691358025</v>
      </c>
      <c r="H50" s="168"/>
      <c r="I50" s="168"/>
      <c r="J50" s="168"/>
      <c r="K50" s="168"/>
      <c r="L50" s="168"/>
    </row>
    <row r="51" spans="1:12" x14ac:dyDescent="0.2">
      <c r="A51" s="158"/>
      <c r="B51" s="76" t="s">
        <v>205</v>
      </c>
      <c r="C51" s="103"/>
      <c r="D51" s="131">
        <f>D50/C50-1</f>
        <v>0.60310207351040379</v>
      </c>
      <c r="E51" s="131">
        <f t="shared" ref="E51:F51" si="46">E50/D50-1</f>
        <v>0.14199646074646077</v>
      </c>
      <c r="F51" s="131">
        <f t="shared" si="46"/>
        <v>6.0265108026302139E-2</v>
      </c>
      <c r="G51" s="131">
        <f>G50/F50-1</f>
        <v>2.5256237494385214E-2</v>
      </c>
      <c r="H51" s="168"/>
      <c r="I51" s="168"/>
      <c r="J51" s="168"/>
      <c r="K51" s="168"/>
      <c r="L51" s="168"/>
    </row>
    <row r="52" spans="1:12" x14ac:dyDescent="0.2">
      <c r="A52" s="158"/>
      <c r="B52" t="s">
        <v>229</v>
      </c>
      <c r="C52" s="103"/>
      <c r="D52" s="15"/>
      <c r="E52" s="15"/>
      <c r="F52" s="169">
        <f>F42/F48</f>
        <v>621.23287671232879</v>
      </c>
      <c r="G52" s="169">
        <f>G42/G48</f>
        <v>634.02777777777783</v>
      </c>
      <c r="H52" s="162">
        <f>G52*(1+H53)</f>
        <v>653.0486111111112</v>
      </c>
      <c r="I52" s="162">
        <f>H52*(1+I53)</f>
        <v>672.64006944444452</v>
      </c>
      <c r="J52" s="162">
        <f t="shared" ref="J52:L52" si="47">I52*(1+J53)</f>
        <v>692.81927152777791</v>
      </c>
      <c r="K52" s="162">
        <f t="shared" si="47"/>
        <v>713.60384967361131</v>
      </c>
      <c r="L52" s="162">
        <f t="shared" si="47"/>
        <v>735.0119651638197</v>
      </c>
    </row>
    <row r="53" spans="1:12" s="69" customFormat="1" x14ac:dyDescent="0.2">
      <c r="A53" s="164"/>
      <c r="B53" s="76" t="s">
        <v>205</v>
      </c>
      <c r="C53" s="166"/>
      <c r="D53" s="15"/>
      <c r="E53" s="15"/>
      <c r="F53" s="93"/>
      <c r="G53" s="93">
        <f t="shared" ref="G53" si="48">G52/F52-1</f>
        <v>2.0595981869410807E-2</v>
      </c>
      <c r="H53" s="181">
        <v>0.03</v>
      </c>
      <c r="I53" s="167">
        <v>0.03</v>
      </c>
      <c r="J53" s="167">
        <v>0.03</v>
      </c>
      <c r="K53" s="167">
        <v>0.03</v>
      </c>
      <c r="L53" s="167">
        <v>0.03</v>
      </c>
    </row>
    <row r="54" spans="1:12" x14ac:dyDescent="0.2">
      <c r="A54" s="158"/>
      <c r="B54" t="s">
        <v>230</v>
      </c>
      <c r="C54" s="162">
        <f>C43/C46</f>
        <v>19.327731092436974</v>
      </c>
      <c r="D54" s="162">
        <f>D43/D46</f>
        <v>49.693251533742334</v>
      </c>
      <c r="E54" s="162">
        <f>E43/E46</f>
        <v>87.5</v>
      </c>
      <c r="F54" s="162">
        <f>F43/F46</f>
        <v>146.66666666666666</v>
      </c>
      <c r="G54" s="162">
        <f>G43/G46</f>
        <v>209.25925925925927</v>
      </c>
      <c r="H54" s="170"/>
      <c r="I54" s="170"/>
      <c r="J54" s="170"/>
      <c r="K54" s="170"/>
      <c r="L54" s="170"/>
    </row>
    <row r="55" spans="1:12" x14ac:dyDescent="0.2">
      <c r="A55" s="158"/>
      <c r="B55" s="76" t="s">
        <v>205</v>
      </c>
      <c r="C55" s="103"/>
      <c r="D55" s="131">
        <f>D54/C54-1</f>
        <v>1.5710856228327557</v>
      </c>
      <c r="E55" s="131">
        <f t="shared" ref="E55:G55" si="49">E54/D54-1</f>
        <v>0.76080246913580241</v>
      </c>
      <c r="F55" s="131">
        <f t="shared" si="49"/>
        <v>0.67619047619047601</v>
      </c>
      <c r="G55" s="131">
        <f t="shared" si="49"/>
        <v>0.42676767676767691</v>
      </c>
      <c r="H55" s="170"/>
      <c r="I55" s="170"/>
      <c r="J55" s="170"/>
      <c r="K55" s="170"/>
      <c r="L55" s="170"/>
    </row>
    <row r="56" spans="1:12" x14ac:dyDescent="0.2">
      <c r="A56" s="158"/>
      <c r="B56" t="s">
        <v>231</v>
      </c>
      <c r="C56" s="103"/>
      <c r="D56" s="15"/>
      <c r="E56" s="15"/>
      <c r="F56" s="169">
        <f>F43/F48</f>
        <v>165.75342465753425</v>
      </c>
      <c r="G56" s="169">
        <f>G43/G48</f>
        <v>235.41666666666666</v>
      </c>
      <c r="H56" s="168"/>
      <c r="I56" s="168"/>
      <c r="J56" s="168"/>
      <c r="K56" s="168"/>
      <c r="L56" s="168"/>
    </row>
    <row r="57" spans="1:12" x14ac:dyDescent="0.2">
      <c r="A57" s="158"/>
      <c r="B57" s="76" t="s">
        <v>205</v>
      </c>
      <c r="C57" s="103"/>
      <c r="D57" s="15"/>
      <c r="E57" s="15"/>
      <c r="F57" s="131"/>
      <c r="G57" s="131">
        <f t="shared" ref="G57" si="50">G56/F56-1</f>
        <v>0.42028236914600536</v>
      </c>
      <c r="H57" s="168"/>
      <c r="I57" s="168"/>
      <c r="J57" s="168"/>
      <c r="K57" s="168"/>
      <c r="L57" s="168"/>
    </row>
    <row r="58" spans="1:12" x14ac:dyDescent="0.2">
      <c r="A58" s="158"/>
      <c r="B58" s="158" t="s">
        <v>232</v>
      </c>
      <c r="C58" s="161">
        <f>((C5+C14)*1000/C46)/12</f>
        <v>141.6484593837535</v>
      </c>
      <c r="D58" s="161">
        <f>((D5+D14)*1000/D46)/12</f>
        <v>262.00102249488754</v>
      </c>
      <c r="E58" s="161">
        <f>((E5+E14)*1000/E46)/12</f>
        <v>346.38640873015873</v>
      </c>
      <c r="F58" s="161">
        <f>((F5+F14)*1000/F46)/12</f>
        <v>438.11616161616161</v>
      </c>
      <c r="G58" s="161">
        <f>((G5+G14)*1000/G46)/12</f>
        <v>536.03137860082302</v>
      </c>
      <c r="H58" s="158"/>
      <c r="I58" s="158"/>
      <c r="J58" s="158"/>
      <c r="K58" s="158"/>
      <c r="L58" s="158"/>
    </row>
    <row r="59" spans="1:12" x14ac:dyDescent="0.2">
      <c r="B59" s="76" t="s">
        <v>205</v>
      </c>
      <c r="D59" s="15">
        <f>D58/C58-1</f>
        <v>0.84965670389026471</v>
      </c>
      <c r="E59" s="15">
        <f t="shared" ref="E59:G61" si="51">E58/D58-1</f>
        <v>0.32208036988450228</v>
      </c>
      <c r="F59" s="15">
        <f t="shared" si="51"/>
        <v>0.26481914582700039</v>
      </c>
      <c r="G59" s="15">
        <f t="shared" si="51"/>
        <v>0.22349145172701035</v>
      </c>
    </row>
    <row r="60" spans="1:12" x14ac:dyDescent="0.2">
      <c r="B60" s="158" t="s">
        <v>233</v>
      </c>
      <c r="C60" s="161"/>
      <c r="F60" s="161">
        <f>((F5+F14)*1000/F48)/12</f>
        <v>495.13127853881275</v>
      </c>
      <c r="G60" s="161">
        <f>((G5+G14)*1000/G48)/12</f>
        <v>603.03530092592598</v>
      </c>
    </row>
    <row r="61" spans="1:12" x14ac:dyDescent="0.2">
      <c r="B61" s="76" t="s">
        <v>205</v>
      </c>
      <c r="F61" s="15"/>
      <c r="G61" s="15">
        <f t="shared" si="51"/>
        <v>0.2179301269464331</v>
      </c>
    </row>
    <row r="62" spans="1:12" x14ac:dyDescent="0.2">
      <c r="B62" s="158" t="s">
        <v>234</v>
      </c>
      <c r="C62" s="161">
        <f>((C5)*1000/C46)/12</f>
        <v>83.55952380952381</v>
      </c>
      <c r="D62" s="161">
        <f t="shared" ref="D62:G62" si="52">((D5)*1000/D46)/12</f>
        <v>127.00920245398773</v>
      </c>
      <c r="E62" s="161">
        <f t="shared" si="52"/>
        <v>148.19593253968253</v>
      </c>
      <c r="F62" s="161">
        <f t="shared" si="52"/>
        <v>162.62626262626262</v>
      </c>
      <c r="G62" s="161">
        <f t="shared" si="52"/>
        <v>177.35185185185185</v>
      </c>
    </row>
    <row r="63" spans="1:12" x14ac:dyDescent="0.2">
      <c r="B63" s="76" t="s">
        <v>205</v>
      </c>
      <c r="D63" s="15">
        <f>D62/C62-1</f>
        <v>0.51998475653725151</v>
      </c>
      <c r="E63" s="15">
        <f>E62/D62-1</f>
        <v>0.16681255906138159</v>
      </c>
      <c r="F63" s="15">
        <f>F62/E62-1</f>
        <v>9.7373320841420918E-2</v>
      </c>
      <c r="G63" s="15">
        <f>G62/F62-1</f>
        <v>9.0548654244306359E-2</v>
      </c>
    </row>
    <row r="64" spans="1:12" x14ac:dyDescent="0.2">
      <c r="B64" s="158" t="s">
        <v>235</v>
      </c>
      <c r="D64" s="15"/>
      <c r="E64" s="15"/>
      <c r="F64" s="161">
        <f>((F5)*1000/F48)/12</f>
        <v>183.78995433789953</v>
      </c>
      <c r="G64" s="161">
        <f>((G5)*1000/G48)/12</f>
        <v>199.52083333333334</v>
      </c>
      <c r="H64" s="161">
        <f>G64*(1+H65)</f>
        <v>219.47291666666669</v>
      </c>
      <c r="I64" s="161">
        <f t="shared" ref="I64:L64" si="53">H64*(1+I65)</f>
        <v>241.42020833333339</v>
      </c>
      <c r="J64" s="161">
        <f t="shared" si="53"/>
        <v>265.56222916666673</v>
      </c>
      <c r="K64" s="161">
        <f t="shared" si="53"/>
        <v>292.11845208333341</v>
      </c>
      <c r="L64" s="161">
        <f t="shared" si="53"/>
        <v>321.3302972916668</v>
      </c>
    </row>
    <row r="65" spans="2:12" s="69" customFormat="1" x14ac:dyDescent="0.2">
      <c r="B65" s="76" t="s">
        <v>205</v>
      </c>
      <c r="D65" s="15"/>
      <c r="E65" s="15"/>
      <c r="F65" s="173"/>
      <c r="G65" s="15">
        <f>G64/F64-1</f>
        <v>8.5591614906832536E-2</v>
      </c>
      <c r="H65" s="167">
        <v>0.1</v>
      </c>
      <c r="I65" s="167">
        <v>0.1</v>
      </c>
      <c r="J65" s="167">
        <v>0.1</v>
      </c>
      <c r="K65" s="167">
        <v>0.1</v>
      </c>
      <c r="L65" s="167">
        <v>0.1</v>
      </c>
    </row>
    <row r="66" spans="2:12" x14ac:dyDescent="0.2">
      <c r="B66" s="76"/>
      <c r="D66" s="15"/>
      <c r="E66" s="15"/>
      <c r="F66" s="15"/>
      <c r="G66" s="15"/>
      <c r="H66" s="168"/>
      <c r="I66" s="168"/>
      <c r="J66" s="168"/>
      <c r="K66" s="168"/>
      <c r="L66" s="168"/>
    </row>
    <row r="67" spans="2:12" x14ac:dyDescent="0.2">
      <c r="B67" s="76"/>
      <c r="C67" s="252">
        <f t="shared" ref="C67:F67" si="54">(C42/(C46+C48))</f>
        <v>283.19327731092437</v>
      </c>
      <c r="D67" s="252">
        <f t="shared" si="54"/>
        <v>453.98773006134968</v>
      </c>
      <c r="E67" s="252">
        <f t="shared" si="54"/>
        <v>518.45238095238096</v>
      </c>
      <c r="F67" s="252">
        <f t="shared" si="54"/>
        <v>291.63987138263667</v>
      </c>
      <c r="G67" s="252">
        <f>(G42/(G46+G48))</f>
        <v>298.36601307189545</v>
      </c>
      <c r="H67" s="168"/>
      <c r="I67" s="168"/>
      <c r="J67" s="168"/>
      <c r="K67" s="168"/>
      <c r="L67" s="168"/>
    </row>
    <row r="68" spans="2:12" x14ac:dyDescent="0.2">
      <c r="B68" s="76"/>
      <c r="D68" s="15"/>
      <c r="E68" s="15"/>
      <c r="F68" s="15"/>
      <c r="G68" s="15"/>
      <c r="H68" s="168"/>
      <c r="I68" s="168"/>
      <c r="J68" s="168"/>
      <c r="K68" s="168"/>
      <c r="L68" s="168"/>
    </row>
    <row r="71" spans="2:12" x14ac:dyDescent="0.2">
      <c r="B71" t="s">
        <v>236</v>
      </c>
      <c r="C71" s="10" t="str">
        <f>C40</f>
        <v>2021A</v>
      </c>
      <c r="D71" s="10" t="str">
        <f t="shared" ref="D71:L71" si="55">D40</f>
        <v>2022A</v>
      </c>
      <c r="E71" s="10" t="str">
        <f t="shared" si="55"/>
        <v>2023A</v>
      </c>
      <c r="F71" s="10" t="str">
        <f t="shared" si="55"/>
        <v>2024A</v>
      </c>
      <c r="G71" s="10" t="str">
        <f t="shared" si="55"/>
        <v>2025A</v>
      </c>
      <c r="H71" s="74" t="str">
        <f t="shared" si="55"/>
        <v>2026E</v>
      </c>
      <c r="I71" s="74" t="str">
        <f t="shared" si="55"/>
        <v>2027E</v>
      </c>
      <c r="J71" s="74" t="str">
        <f t="shared" si="55"/>
        <v>2028E</v>
      </c>
      <c r="K71" s="74" t="str">
        <f t="shared" si="55"/>
        <v>2029E</v>
      </c>
      <c r="L71" s="74" t="str">
        <f t="shared" si="55"/>
        <v>2030E</v>
      </c>
    </row>
    <row r="72" spans="2:12" x14ac:dyDescent="0.2">
      <c r="B72" t="s">
        <v>237</v>
      </c>
      <c r="D72" s="131">
        <f>D41-C41</f>
        <v>-3.4676274825550177E-3</v>
      </c>
      <c r="E72" s="131">
        <f>E41-D41</f>
        <v>-5.4176165280927155E-3</v>
      </c>
      <c r="F72" s="131">
        <f>F41-E41</f>
        <v>-4.6403255186372068E-3</v>
      </c>
      <c r="G72" s="131">
        <f>G41-F41</f>
        <v>-1.9715575708817885E-3</v>
      </c>
      <c r="H72" s="264">
        <v>-1.5E-3</v>
      </c>
      <c r="I72" s="264">
        <f>H72*0.5</f>
        <v>-7.5000000000000002E-4</v>
      </c>
      <c r="J72" s="264">
        <f t="shared" ref="J72:L72" si="56">I72*0.5</f>
        <v>-3.7500000000000001E-4</v>
      </c>
      <c r="K72" s="264">
        <f t="shared" si="56"/>
        <v>-1.875E-4</v>
      </c>
      <c r="L72" s="264">
        <f t="shared" si="56"/>
        <v>-9.3750000000000002E-5</v>
      </c>
    </row>
    <row r="73" spans="2:12" x14ac:dyDescent="0.2">
      <c r="B73" t="s">
        <v>238</v>
      </c>
      <c r="C73" s="91">
        <f>C43/C42</f>
        <v>6.8249258160237386E-2</v>
      </c>
      <c r="D73" s="91">
        <f>D43/D42</f>
        <v>0.10945945945945947</v>
      </c>
      <c r="E73" s="91">
        <f>E43/E42</f>
        <v>0.1687715269804822</v>
      </c>
      <c r="F73" s="91">
        <f>F43/F42</f>
        <v>0.26681367144432194</v>
      </c>
      <c r="G73" s="91">
        <f>G43/G42</f>
        <v>0.37130339539978097</v>
      </c>
      <c r="H73" s="91">
        <f>G73+H74</f>
        <v>0.46130339539978094</v>
      </c>
      <c r="I73" s="91">
        <f t="shared" ref="I73:L73" si="57">H73+I74</f>
        <v>0.52130339539978099</v>
      </c>
      <c r="J73" s="91">
        <f t="shared" si="57"/>
        <v>0.58130339539978104</v>
      </c>
      <c r="K73" s="91">
        <f t="shared" si="57"/>
        <v>0.63130339539978109</v>
      </c>
      <c r="L73" s="91">
        <f t="shared" si="57"/>
        <v>0.67130339539978112</v>
      </c>
    </row>
    <row r="74" spans="2:12" x14ac:dyDescent="0.2">
      <c r="B74" s="76" t="s">
        <v>239</v>
      </c>
      <c r="D74" s="131">
        <f>D73-C73</f>
        <v>4.121020129922208E-2</v>
      </c>
      <c r="E74" s="131">
        <f t="shared" ref="E74:G74" si="58">E73-D73</f>
        <v>5.9312067521022735E-2</v>
      </c>
      <c r="F74" s="131">
        <f t="shared" si="58"/>
        <v>9.8042144463839742E-2</v>
      </c>
      <c r="G74" s="131">
        <f t="shared" si="58"/>
        <v>0.10448972395545902</v>
      </c>
      <c r="H74" s="168">
        <v>0.09</v>
      </c>
      <c r="I74" s="168">
        <v>0.06</v>
      </c>
      <c r="J74" s="168">
        <v>0.06</v>
      </c>
      <c r="K74" s="168">
        <v>0.05</v>
      </c>
      <c r="L74" s="168">
        <v>0.04</v>
      </c>
    </row>
    <row r="75" spans="2:12" x14ac:dyDescent="0.2">
      <c r="B75" s="76"/>
      <c r="D75" s="131"/>
      <c r="E75" s="131"/>
      <c r="F75" s="131"/>
      <c r="G75" s="131"/>
      <c r="H75" s="168"/>
      <c r="I75" s="168"/>
      <c r="J75" s="168"/>
      <c r="K75" s="168"/>
      <c r="L75" s="168"/>
    </row>
    <row r="76" spans="2:12" x14ac:dyDescent="0.2">
      <c r="B76" s="76"/>
      <c r="D76" s="131"/>
      <c r="E76" s="131"/>
      <c r="F76" s="131"/>
      <c r="G76" s="131"/>
      <c r="H76" s="168"/>
      <c r="I76" s="168"/>
      <c r="J76" s="168"/>
      <c r="K76" s="168"/>
      <c r="L76" s="168"/>
    </row>
    <row r="78" spans="2:12" x14ac:dyDescent="0.2">
      <c r="C78" s="79">
        <f>C43/C42</f>
        <v>6.8249258160237386E-2</v>
      </c>
      <c r="D78" s="79">
        <f t="shared" ref="D78:G78" si="59">D43/D42</f>
        <v>0.10945945945945947</v>
      </c>
      <c r="E78" s="79">
        <f t="shared" si="59"/>
        <v>0.1687715269804822</v>
      </c>
      <c r="F78" s="79">
        <f t="shared" si="59"/>
        <v>0.26681367144432194</v>
      </c>
      <c r="G78" s="79">
        <f t="shared" si="59"/>
        <v>0.37130339539978097</v>
      </c>
    </row>
  </sheetData>
  <mergeCells count="5">
    <mergeCell ref="C3:G3"/>
    <mergeCell ref="H3:L3"/>
    <mergeCell ref="M4:AA4"/>
    <mergeCell ref="C39:G39"/>
    <mergeCell ref="H39:L3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52"/>
  <sheetViews>
    <sheetView topLeftCell="A9" workbookViewId="0">
      <selection activeCell="C10" sqref="C10"/>
    </sheetView>
  </sheetViews>
  <sheetFormatPr baseColWidth="10" defaultColWidth="8.83203125" defaultRowHeight="15" x14ac:dyDescent="0.2"/>
  <cols>
    <col min="1" max="1" width="31.5" customWidth="1"/>
    <col min="2" max="2" width="39.6640625" customWidth="1"/>
    <col min="3" max="3" width="28.6640625" customWidth="1"/>
    <col min="4" max="4" width="27" customWidth="1"/>
  </cols>
  <sheetData>
    <row r="1" spans="1:4" x14ac:dyDescent="0.2">
      <c r="A1" s="132" t="s">
        <v>240</v>
      </c>
      <c r="B1" s="132" t="s">
        <v>241</v>
      </c>
      <c r="C1" s="132" t="s">
        <v>242</v>
      </c>
      <c r="D1" s="132" t="s">
        <v>243</v>
      </c>
    </row>
    <row r="2" spans="1:4" ht="96" x14ac:dyDescent="0.2">
      <c r="A2" s="133" t="s">
        <v>221</v>
      </c>
      <c r="B2" s="134" t="s">
        <v>244</v>
      </c>
      <c r="C2" s="134" t="s">
        <v>245</v>
      </c>
      <c r="D2" s="134" t="s">
        <v>246</v>
      </c>
    </row>
    <row r="3" spans="1:4" ht="112" x14ac:dyDescent="0.2">
      <c r="A3" s="133" t="s">
        <v>247</v>
      </c>
      <c r="B3" s="134" t="s">
        <v>248</v>
      </c>
      <c r="C3" s="134" t="s">
        <v>249</v>
      </c>
      <c r="D3" s="133"/>
    </row>
    <row r="8" spans="1:4" x14ac:dyDescent="0.2">
      <c r="A8" s="135" t="s">
        <v>250</v>
      </c>
    </row>
    <row r="9" spans="1:4" ht="272" x14ac:dyDescent="0.2">
      <c r="A9" s="136" t="s">
        <v>250</v>
      </c>
      <c r="B9" s="137" t="s">
        <v>251</v>
      </c>
      <c r="C9" s="302" t="s">
        <v>252</v>
      </c>
    </row>
    <row r="10" spans="1:4" ht="224" x14ac:dyDescent="0.2">
      <c r="A10" s="299" t="s">
        <v>253</v>
      </c>
      <c r="B10" s="302" t="s">
        <v>254</v>
      </c>
      <c r="C10" s="302" t="s">
        <v>255</v>
      </c>
      <c r="D10" s="302" t="s">
        <v>256</v>
      </c>
    </row>
    <row r="11" spans="1:4" ht="160" x14ac:dyDescent="0.2">
      <c r="A11" s="299" t="s">
        <v>257</v>
      </c>
      <c r="B11" s="302" t="s">
        <v>258</v>
      </c>
      <c r="C11" s="302" t="s">
        <v>259</v>
      </c>
    </row>
    <row r="14" spans="1:4" ht="24" x14ac:dyDescent="0.2">
      <c r="A14" s="138" t="s">
        <v>260</v>
      </c>
    </row>
    <row r="16" spans="1:4" ht="16" x14ac:dyDescent="0.2">
      <c r="A16" s="139" t="s">
        <v>261</v>
      </c>
      <c r="B16" s="139" t="s">
        <v>262</v>
      </c>
      <c r="C16" s="139" t="s">
        <v>263</v>
      </c>
    </row>
    <row r="17" spans="1:3" ht="16" x14ac:dyDescent="0.2">
      <c r="A17" s="140" t="s">
        <v>264</v>
      </c>
      <c r="B17" s="140" t="s">
        <v>265</v>
      </c>
      <c r="C17" s="140" t="s">
        <v>266</v>
      </c>
    </row>
    <row r="18" spans="1:3" ht="16" x14ac:dyDescent="0.2">
      <c r="A18" s="140" t="s">
        <v>267</v>
      </c>
      <c r="B18" s="140" t="s">
        <v>268</v>
      </c>
      <c r="C18" s="140" t="s">
        <v>266</v>
      </c>
    </row>
    <row r="19" spans="1:3" ht="16" x14ac:dyDescent="0.2">
      <c r="A19" s="140" t="s">
        <v>269</v>
      </c>
      <c r="B19" s="140" t="s">
        <v>270</v>
      </c>
      <c r="C19" s="140" t="s">
        <v>266</v>
      </c>
    </row>
    <row r="20" spans="1:3" ht="16" x14ac:dyDescent="0.2">
      <c r="A20" s="140" t="s">
        <v>271</v>
      </c>
      <c r="B20" s="140" t="s">
        <v>272</v>
      </c>
      <c r="C20" s="140" t="s">
        <v>273</v>
      </c>
    </row>
    <row r="21" spans="1:3" ht="16" x14ac:dyDescent="0.2">
      <c r="A21" s="140" t="s">
        <v>274</v>
      </c>
      <c r="B21" s="140" t="s">
        <v>275</v>
      </c>
      <c r="C21" s="140" t="s">
        <v>273</v>
      </c>
    </row>
    <row r="52" spans="9:11" x14ac:dyDescent="0.2">
      <c r="I52">
        <f>H52*(1+I53)</f>
        <v>0</v>
      </c>
      <c r="K52">
        <f>J52*(1+K53)</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1"/>
  <sheetViews>
    <sheetView workbookViewId="0"/>
  </sheetViews>
  <sheetFormatPr baseColWidth="10" defaultColWidth="11.5" defaultRowHeight="15" x14ac:dyDescent="0.2"/>
  <cols>
    <col min="2" max="2" width="45.33203125" customWidth="1"/>
    <col min="14" max="14" width="26.83203125" customWidth="1"/>
    <col min="16" max="16" width="18.6640625" customWidth="1"/>
    <col min="17" max="17" width="17.6640625" customWidth="1"/>
    <col min="18" max="18" width="20.1640625" customWidth="1"/>
  </cols>
  <sheetData>
    <row r="1" spans="1:19" ht="19" x14ac:dyDescent="0.25">
      <c r="A1" s="84" t="s">
        <v>0</v>
      </c>
      <c r="B1" s="84" t="s">
        <v>276</v>
      </c>
      <c r="C1" s="84"/>
      <c r="D1" s="85" t="s">
        <v>277</v>
      </c>
      <c r="E1" s="85" t="s">
        <v>277</v>
      </c>
      <c r="F1" s="85" t="s">
        <v>277</v>
      </c>
      <c r="G1" s="85" t="s">
        <v>277</v>
      </c>
      <c r="H1" s="86" t="s">
        <v>277</v>
      </c>
      <c r="I1" s="86" t="s">
        <v>277</v>
      </c>
      <c r="J1" s="86" t="s">
        <v>277</v>
      </c>
      <c r="K1" s="86" t="s">
        <v>277</v>
      </c>
      <c r="L1" s="86" t="s">
        <v>277</v>
      </c>
      <c r="M1" s="86"/>
    </row>
    <row r="2" spans="1:19" x14ac:dyDescent="0.2">
      <c r="A2" s="87"/>
      <c r="B2" s="87" t="s">
        <v>102</v>
      </c>
      <c r="C2" s="316" t="s">
        <v>3</v>
      </c>
      <c r="D2" s="316"/>
      <c r="E2" s="316"/>
      <c r="F2" s="316"/>
      <c r="G2" s="316"/>
      <c r="H2" s="317" t="s">
        <v>4</v>
      </c>
      <c r="I2" s="317"/>
      <c r="J2" s="317"/>
      <c r="K2" s="317"/>
      <c r="L2" s="317"/>
      <c r="M2" s="105"/>
    </row>
    <row r="3" spans="1:19" x14ac:dyDescent="0.2">
      <c r="A3" s="87"/>
      <c r="B3" s="88" t="s">
        <v>6</v>
      </c>
      <c r="C3" s="10" t="s">
        <v>7</v>
      </c>
      <c r="D3" s="10" t="s">
        <v>8</v>
      </c>
      <c r="E3" s="10" t="s">
        <v>9</v>
      </c>
      <c r="F3" s="10" t="s">
        <v>10</v>
      </c>
      <c r="G3" s="10" t="s">
        <v>11</v>
      </c>
      <c r="H3" s="11">
        <f>2026</f>
        <v>2026</v>
      </c>
      <c r="I3" s="11">
        <f>H3+1</f>
        <v>2027</v>
      </c>
      <c r="J3" s="11">
        <f t="shared" ref="J3:L3" si="0">I3+1</f>
        <v>2028</v>
      </c>
      <c r="K3" s="11">
        <f t="shared" si="0"/>
        <v>2029</v>
      </c>
      <c r="L3" s="11">
        <f t="shared" si="0"/>
        <v>2030</v>
      </c>
      <c r="M3" s="105"/>
    </row>
    <row r="4" spans="1:19" x14ac:dyDescent="0.2">
      <c r="B4" s="70" t="s">
        <v>278</v>
      </c>
      <c r="C4" s="70"/>
      <c r="H4" s="89">
        <f>'Vertical Statements '!G117</f>
        <v>17102</v>
      </c>
    </row>
    <row r="5" spans="1:19" x14ac:dyDescent="0.2">
      <c r="B5" s="70" t="s">
        <v>279</v>
      </c>
      <c r="C5" s="70"/>
      <c r="D5" s="89">
        <f>'Vertical Statements '!D117-'Vertical Statements '!C117+'Vertical Statements '!C18</f>
        <v>10593</v>
      </c>
      <c r="E5" s="89">
        <f>'Vertical Statements '!E117-'Vertical Statements '!D117+'Vertical Statements '!D18</f>
        <v>8028</v>
      </c>
      <c r="F5" s="89">
        <f>'Vertical Statements '!F117-'Vertical Statements '!E117+'Vertical Statements '!E18</f>
        <v>6476</v>
      </c>
      <c r="G5" s="89">
        <f>'Vertical Statements '!G117-'Vertical Statements '!F117+'Vertical Statements '!F18</f>
        <v>3240</v>
      </c>
      <c r="H5" s="90">
        <f>H6*'Vertical Statements '!H4</f>
        <v>4088.7633807347788</v>
      </c>
      <c r="I5" s="90">
        <f>I6*'Vertical Statements '!I4</f>
        <v>4982.6701032114252</v>
      </c>
      <c r="J5" s="90">
        <f>J6*'Vertical Statements '!J4</f>
        <v>6101.5766552282175</v>
      </c>
      <c r="K5" s="90">
        <f>K6*'Vertical Statements '!K4</f>
        <v>7393.946745821333</v>
      </c>
      <c r="L5" s="90">
        <f>L6*'Vertical Statements '!L4</f>
        <v>8866.9837175816483</v>
      </c>
      <c r="M5" s="106"/>
    </row>
    <row r="6" spans="1:19" x14ac:dyDescent="0.2">
      <c r="B6" s="69" t="s">
        <v>20</v>
      </c>
      <c r="D6" s="91">
        <f>D5/'Vertical Statements '!C4</f>
        <v>4.777475104632703E-2</v>
      </c>
      <c r="E6" s="91">
        <f>E5/'Vertical Statements '!D4</f>
        <v>1.4639697139897734E-2</v>
      </c>
      <c r="F6" s="91">
        <f>F5/'Vertical Statements '!E4</f>
        <v>8.8650880348689811E-3</v>
      </c>
      <c r="G6" s="91">
        <f>G5/'Vertical Statements '!F4</f>
        <v>3.5632980302880333E-3</v>
      </c>
      <c r="H6" s="92">
        <v>3.0000000000000001E-3</v>
      </c>
      <c r="I6" s="92">
        <v>3.0000000000000001E-3</v>
      </c>
      <c r="J6" s="92">
        <v>3.0000000000000001E-3</v>
      </c>
      <c r="K6" s="92">
        <v>3.0000000000000001E-3</v>
      </c>
      <c r="L6" s="92">
        <v>3.0000000000000001E-3</v>
      </c>
    </row>
    <row r="7" spans="1:19" x14ac:dyDescent="0.2">
      <c r="B7" s="70" t="s">
        <v>280</v>
      </c>
      <c r="C7" s="70"/>
      <c r="D7" s="69"/>
      <c r="E7" s="93"/>
      <c r="F7" s="93"/>
      <c r="G7" s="93"/>
      <c r="H7" s="46"/>
    </row>
    <row r="8" spans="1:19" x14ac:dyDescent="0.2">
      <c r="B8" s="70" t="s">
        <v>281</v>
      </c>
      <c r="C8" s="70"/>
      <c r="I8" s="46"/>
    </row>
    <row r="9" spans="1:19" x14ac:dyDescent="0.2">
      <c r="B9" t="s">
        <v>282</v>
      </c>
      <c r="H9" s="94">
        <v>7</v>
      </c>
      <c r="L9" t="s">
        <v>283</v>
      </c>
      <c r="O9" s="107"/>
      <c r="P9" s="107"/>
      <c r="Q9" s="107"/>
      <c r="R9" s="107"/>
      <c r="S9" s="97"/>
    </row>
    <row r="10" spans="1:19" x14ac:dyDescent="0.2">
      <c r="B10" t="s">
        <v>284</v>
      </c>
      <c r="H10" s="94">
        <v>9</v>
      </c>
      <c r="O10" s="91"/>
      <c r="P10" s="91"/>
      <c r="Q10" s="91"/>
      <c r="R10" s="91"/>
      <c r="S10" s="91"/>
    </row>
    <row r="11" spans="1:19" x14ac:dyDescent="0.2">
      <c r="B11" s="70" t="s">
        <v>285</v>
      </c>
      <c r="C11" s="70"/>
    </row>
    <row r="12" spans="1:19" x14ac:dyDescent="0.2">
      <c r="B12" t="s">
        <v>286</v>
      </c>
      <c r="H12" s="13">
        <f>$H$4/$H$9</f>
        <v>2443.1428571428573</v>
      </c>
      <c r="I12" s="13">
        <f t="shared" ref="I12:L12" si="1">$H$4/$H$9</f>
        <v>2443.1428571428573</v>
      </c>
      <c r="J12" s="13">
        <f t="shared" si="1"/>
        <v>2443.1428571428573</v>
      </c>
      <c r="K12" s="13">
        <f t="shared" si="1"/>
        <v>2443.1428571428573</v>
      </c>
      <c r="L12" s="13">
        <f t="shared" si="1"/>
        <v>2443.1428571428573</v>
      </c>
      <c r="M12" s="97"/>
      <c r="O12" s="80"/>
    </row>
    <row r="13" spans="1:19" x14ac:dyDescent="0.2">
      <c r="B13" t="s">
        <v>287</v>
      </c>
      <c r="H13" s="13">
        <f>$H$5/$H$10</f>
        <v>454.30704230386431</v>
      </c>
      <c r="I13" s="13">
        <f t="shared" ref="I13:L13" si="2">$H$5/$H$10</f>
        <v>454.30704230386431</v>
      </c>
      <c r="J13" s="13">
        <f t="shared" si="2"/>
        <v>454.30704230386431</v>
      </c>
      <c r="K13" s="13">
        <f t="shared" si="2"/>
        <v>454.30704230386431</v>
      </c>
      <c r="L13" s="13">
        <f t="shared" si="2"/>
        <v>454.30704230386431</v>
      </c>
      <c r="M13" s="97"/>
    </row>
    <row r="14" spans="1:19" x14ac:dyDescent="0.2">
      <c r="B14" t="s">
        <v>288</v>
      </c>
      <c r="H14" s="13"/>
      <c r="I14" s="13">
        <f>$I$5/$H$10</f>
        <v>553.63001146793613</v>
      </c>
      <c r="J14" s="13">
        <f>$I$5/$H$10</f>
        <v>553.63001146793613</v>
      </c>
      <c r="K14" s="13">
        <f t="shared" ref="K14:L14" si="3">$I$5/$H$10</f>
        <v>553.63001146793613</v>
      </c>
      <c r="L14" s="13">
        <f t="shared" si="3"/>
        <v>553.63001146793613</v>
      </c>
      <c r="M14" s="97"/>
    </row>
    <row r="15" spans="1:19" x14ac:dyDescent="0.2">
      <c r="B15" t="s">
        <v>289</v>
      </c>
      <c r="H15" s="13"/>
      <c r="I15" s="13"/>
      <c r="J15" s="13">
        <f>$J$5/$H$10</f>
        <v>677.95296169202413</v>
      </c>
      <c r="K15" s="13">
        <f t="shared" ref="K15:L15" si="4">$J$5/$H$10</f>
        <v>677.95296169202413</v>
      </c>
      <c r="L15" s="13">
        <f t="shared" si="4"/>
        <v>677.95296169202413</v>
      </c>
      <c r="M15" s="97"/>
    </row>
    <row r="16" spans="1:19" x14ac:dyDescent="0.2">
      <c r="B16" t="s">
        <v>290</v>
      </c>
      <c r="H16" s="13"/>
      <c r="I16" s="13"/>
      <c r="J16" s="13"/>
      <c r="K16" s="13">
        <f>$K$5/$H$10</f>
        <v>821.54963842459256</v>
      </c>
      <c r="L16" s="13">
        <f>$K$5/$H$10</f>
        <v>821.54963842459256</v>
      </c>
      <c r="M16" s="97"/>
      <c r="N16" s="108" t="s">
        <v>291</v>
      </c>
      <c r="O16" s="109" t="s">
        <v>292</v>
      </c>
      <c r="P16" s="109" t="s">
        <v>293</v>
      </c>
      <c r="Q16" s="109" t="s">
        <v>294</v>
      </c>
      <c r="R16" s="123" t="s">
        <v>295</v>
      </c>
    </row>
    <row r="17" spans="2:19" x14ac:dyDescent="0.2">
      <c r="B17" t="s">
        <v>296</v>
      </c>
      <c r="H17" s="25"/>
      <c r="I17" s="25"/>
      <c r="J17" s="25"/>
      <c r="K17" s="25"/>
      <c r="L17" s="25">
        <f>$L$5/$H$10</f>
        <v>985.22041306462756</v>
      </c>
      <c r="M17" s="97"/>
      <c r="N17" s="110" t="s">
        <v>297</v>
      </c>
      <c r="O17" s="111">
        <v>8</v>
      </c>
      <c r="P17" s="112">
        <v>1738</v>
      </c>
      <c r="Q17" s="124">
        <f>P17/SUM($P$17:$P$20)</f>
        <v>0.10162554087241259</v>
      </c>
      <c r="R17" s="125">
        <v>0.2</v>
      </c>
      <c r="S17" s="46"/>
    </row>
    <row r="18" spans="2:19" x14ac:dyDescent="0.2">
      <c r="B18" s="70" t="s">
        <v>298</v>
      </c>
      <c r="C18" s="70"/>
      <c r="H18" s="95">
        <f>SUM(H12:H17)</f>
        <v>2897.4498994467217</v>
      </c>
      <c r="I18" s="95">
        <f t="shared" ref="I18:L18" si="5">SUM(I12:I17)</f>
        <v>3451.0799109146578</v>
      </c>
      <c r="J18" s="95">
        <f t="shared" si="5"/>
        <v>4129.0328726066818</v>
      </c>
      <c r="K18" s="95">
        <f t="shared" si="5"/>
        <v>4950.5825110312744</v>
      </c>
      <c r="L18" s="95">
        <f t="shared" si="5"/>
        <v>5935.8029240959022</v>
      </c>
      <c r="M18" s="95"/>
      <c r="N18" s="113" t="s">
        <v>299</v>
      </c>
      <c r="O18" s="114">
        <v>8</v>
      </c>
      <c r="P18" s="115">
        <v>332</v>
      </c>
      <c r="Q18" s="126">
        <f>P18/SUM($P$17:$P$20)</f>
        <v>1.9412934159747399E-2</v>
      </c>
      <c r="R18" s="127">
        <v>0.2</v>
      </c>
    </row>
    <row r="19" spans="2:19" x14ac:dyDescent="0.2">
      <c r="B19" s="69" t="s">
        <v>20</v>
      </c>
      <c r="C19" s="69"/>
      <c r="H19" s="91">
        <f>+H18/'Vertical Statements '!H4</f>
        <v>2.1259116483228948E-3</v>
      </c>
      <c r="I19" s="91">
        <f>+I18/'Vertical Statements '!I4</f>
        <v>2.0778497308242654E-3</v>
      </c>
      <c r="J19" s="91">
        <f>+J18/'Vertical Statements '!J4</f>
        <v>2.0301471763377742E-3</v>
      </c>
      <c r="K19" s="91">
        <f>+K18/'Vertical Statements '!K4</f>
        <v>2.0086359888225112E-3</v>
      </c>
      <c r="L19" s="91">
        <f>+L18/'Vertical Statements '!L4</f>
        <v>2.0082825614057224E-3</v>
      </c>
      <c r="M19" s="91"/>
      <c r="N19" s="113" t="s">
        <v>300</v>
      </c>
      <c r="O19" s="114">
        <v>50</v>
      </c>
      <c r="P19" s="115">
        <v>4710</v>
      </c>
      <c r="Q19" s="126">
        <f>P19/SUM($P$17:$P$20)</f>
        <v>0.27540638521810312</v>
      </c>
      <c r="R19" s="127">
        <v>0.55000000000000004</v>
      </c>
    </row>
    <row r="20" spans="2:19" x14ac:dyDescent="0.2">
      <c r="B20" s="69"/>
      <c r="C20" s="69"/>
      <c r="H20" s="91"/>
      <c r="I20" s="91"/>
      <c r="J20" s="91"/>
      <c r="K20" s="91"/>
      <c r="L20" s="91"/>
      <c r="M20" s="91"/>
      <c r="N20" s="116" t="s">
        <v>301</v>
      </c>
      <c r="O20" s="117">
        <v>13</v>
      </c>
      <c r="P20" s="118">
        <v>10322</v>
      </c>
      <c r="Q20" s="128">
        <f>P20/SUM($P$17:$P$20)</f>
        <v>0.60355513974973685</v>
      </c>
      <c r="R20" s="129">
        <v>0.2</v>
      </c>
    </row>
    <row r="21" spans="2:19" x14ac:dyDescent="0.2">
      <c r="B21" s="70" t="s">
        <v>302</v>
      </c>
      <c r="C21" s="70"/>
    </row>
    <row r="22" spans="2:19" x14ac:dyDescent="0.2">
      <c r="B22" t="s">
        <v>286</v>
      </c>
      <c r="H22" s="96">
        <f>O22</f>
        <v>0.29639223482633609</v>
      </c>
      <c r="I22" s="96">
        <f>O22</f>
        <v>0.29639223482633609</v>
      </c>
      <c r="J22" s="96">
        <f>O22</f>
        <v>0.29639223482633609</v>
      </c>
      <c r="K22" s="96">
        <f>O22</f>
        <v>0.29639223482633609</v>
      </c>
      <c r="L22" s="96">
        <f>O22</f>
        <v>0.29639223482633609</v>
      </c>
      <c r="M22" s="96"/>
      <c r="N22" s="119" t="s">
        <v>303</v>
      </c>
      <c r="O22" s="120">
        <f>SUMPRODUCT(Q17:Q20,R17:R20)</f>
        <v>0.29639223482633609</v>
      </c>
    </row>
    <row r="23" spans="2:19" x14ac:dyDescent="0.2">
      <c r="B23" t="s">
        <v>287</v>
      </c>
      <c r="H23" s="96">
        <f>O22</f>
        <v>0.29639223482633609</v>
      </c>
      <c r="I23" s="96">
        <f>O22</f>
        <v>0.29639223482633609</v>
      </c>
      <c r="J23" s="96">
        <f>O22</f>
        <v>0.29639223482633609</v>
      </c>
      <c r="K23" s="96">
        <f>O22</f>
        <v>0.29639223482633609</v>
      </c>
      <c r="L23" s="96">
        <f>O22</f>
        <v>0.29639223482633609</v>
      </c>
      <c r="M23" s="96"/>
    </row>
    <row r="24" spans="2:19" x14ac:dyDescent="0.2">
      <c r="B24" t="s">
        <v>288</v>
      </c>
      <c r="H24" s="96"/>
      <c r="I24" s="96">
        <f>O22</f>
        <v>0.29639223482633609</v>
      </c>
      <c r="J24" s="96">
        <f>O22</f>
        <v>0.29639223482633609</v>
      </c>
      <c r="K24" s="96">
        <f>O22</f>
        <v>0.29639223482633609</v>
      </c>
      <c r="L24" s="96">
        <f>O22</f>
        <v>0.29639223482633609</v>
      </c>
      <c r="M24" s="96"/>
    </row>
    <row r="25" spans="2:19" x14ac:dyDescent="0.2">
      <c r="B25" t="s">
        <v>289</v>
      </c>
      <c r="H25" s="96"/>
      <c r="I25" s="96"/>
      <c r="J25" s="96">
        <f>O22</f>
        <v>0.29639223482633609</v>
      </c>
      <c r="K25" s="96">
        <f>O22</f>
        <v>0.29639223482633609</v>
      </c>
      <c r="L25" s="96">
        <f>O22</f>
        <v>0.29639223482633609</v>
      </c>
      <c r="M25" s="96"/>
      <c r="N25" s="70" t="s">
        <v>304</v>
      </c>
      <c r="O25" s="121">
        <f>H4-('Vertical Statements '!G146/0.27)</f>
        <v>16050.148148148148</v>
      </c>
      <c r="P25" s="244" t="s">
        <v>305</v>
      </c>
    </row>
    <row r="26" spans="2:19" x14ac:dyDescent="0.2">
      <c r="B26" t="s">
        <v>290</v>
      </c>
      <c r="H26" s="96"/>
      <c r="I26" s="96"/>
      <c r="J26" s="96"/>
      <c r="K26" s="96">
        <f>O22</f>
        <v>0.29639223482633609</v>
      </c>
      <c r="L26" s="96">
        <f>O22</f>
        <v>0.29639223482633609</v>
      </c>
      <c r="M26" s="96"/>
      <c r="P26" t="s">
        <v>306</v>
      </c>
    </row>
    <row r="27" spans="2:19" x14ac:dyDescent="0.2">
      <c r="B27" t="s">
        <v>296</v>
      </c>
      <c r="H27" s="96"/>
      <c r="I27" s="96"/>
      <c r="J27" s="96"/>
      <c r="K27" s="96"/>
      <c r="L27" s="96">
        <f>O22</f>
        <v>0.29639223482633609</v>
      </c>
      <c r="M27" s="96"/>
    </row>
    <row r="28" spans="2:19" x14ac:dyDescent="0.2">
      <c r="B28" t="s">
        <v>277</v>
      </c>
    </row>
    <row r="29" spans="2:19" x14ac:dyDescent="0.2">
      <c r="B29" s="70" t="s">
        <v>307</v>
      </c>
      <c r="C29" s="70"/>
    </row>
    <row r="30" spans="2:19" x14ac:dyDescent="0.2">
      <c r="B30" t="s">
        <v>286</v>
      </c>
      <c r="H30" s="97">
        <f>$O$25*H23</f>
        <v>4757.1392789234087</v>
      </c>
      <c r="I30" s="97">
        <f>($O$25-SUM($H30:H$30))*I23</f>
        <v>3347.1601366631548</v>
      </c>
      <c r="J30" s="97">
        <f>($O$25-SUM($H30:I$30))*J23</f>
        <v>2355.0878634359378</v>
      </c>
      <c r="K30" s="97">
        <f>($O$25-SUM($H30:J$30))*K23</f>
        <v>1657.0581083797795</v>
      </c>
      <c r="L30" s="97">
        <f>($O$25-SUM($H30:K$30))*L23</f>
        <v>1165.9189523999958</v>
      </c>
      <c r="M30" s="97"/>
    </row>
    <row r="31" spans="2:19" x14ac:dyDescent="0.2">
      <c r="B31" t="s">
        <v>287</v>
      </c>
      <c r="H31" s="97">
        <f>$H$5*H23</f>
        <v>1211.8777160920663</v>
      </c>
      <c r="I31" s="97">
        <f>($H$5-SUM($H$31:H31))*I23</f>
        <v>852.68657148330283</v>
      </c>
      <c r="J31" s="97">
        <f>($H$5-SUM($H$31:I31))*J23</f>
        <v>599.95689295496027</v>
      </c>
      <c r="K31" s="97">
        <f>($H$5-SUM($H$31:J31))*K23</f>
        <v>422.13432865257465</v>
      </c>
      <c r="L31" s="97">
        <f>($H$5-SUM($H$31:K31))*L23</f>
        <v>297.01699158632294</v>
      </c>
      <c r="M31" s="97"/>
    </row>
    <row r="32" spans="2:19" x14ac:dyDescent="0.2">
      <c r="B32" t="s">
        <v>288</v>
      </c>
      <c r="I32" s="97">
        <f>$I$5*I24</f>
        <v>1476.8247272932049</v>
      </c>
      <c r="J32" s="97">
        <f>($I$5-SUM($I$32:I32))*J24</f>
        <v>1039.1053459239777</v>
      </c>
      <c r="K32" s="97">
        <f>($I$5-SUM($I$32:J32))*K24</f>
        <v>731.12259022557691</v>
      </c>
      <c r="L32" s="97">
        <f>($I$5-SUM($I$32:K32))*L24</f>
        <v>514.42353177659868</v>
      </c>
      <c r="M32" s="97"/>
    </row>
    <row r="33" spans="1:13" x14ac:dyDescent="0.2">
      <c r="B33" t="s">
        <v>289</v>
      </c>
      <c r="J33" s="97">
        <f>$J$5*J25</f>
        <v>1808.4599408072922</v>
      </c>
      <c r="K33" s="97">
        <f>($J$5-SUM($J$33:J33))*K25</f>
        <v>1272.4464573575151</v>
      </c>
      <c r="L33" s="97">
        <f>($J$5-SUM($J$33:K33))*L25</f>
        <v>895.30320816446726</v>
      </c>
      <c r="M33" s="97"/>
    </row>
    <row r="34" spans="1:13" x14ac:dyDescent="0.2">
      <c r="B34" t="s">
        <v>290</v>
      </c>
      <c r="K34" s="97">
        <f>$K$5*K26</f>
        <v>2191.5084001809</v>
      </c>
      <c r="L34" s="97">
        <f>($K$5-SUM($K$34:K34))*L27</f>
        <v>1541.9623278105946</v>
      </c>
      <c r="M34" s="97"/>
    </row>
    <row r="35" spans="1:13" x14ac:dyDescent="0.2">
      <c r="B35" t="s">
        <v>296</v>
      </c>
      <c r="H35" s="98"/>
      <c r="I35" s="98"/>
      <c r="J35" s="98"/>
      <c r="K35" s="98"/>
      <c r="L35" s="104">
        <f>$L$5*L27</f>
        <v>2628.1051202227586</v>
      </c>
      <c r="M35" s="97"/>
    </row>
    <row r="36" spans="1:13" x14ac:dyDescent="0.2">
      <c r="B36" s="70" t="s">
        <v>308</v>
      </c>
      <c r="C36" s="70"/>
      <c r="H36" s="95">
        <f>SUM(H30:H35)</f>
        <v>5969.016995015475</v>
      </c>
      <c r="I36" s="95">
        <f>SUM(I30:I35)</f>
        <v>5676.6714354396627</v>
      </c>
      <c r="J36" s="95">
        <f>SUM(J30:J35)</f>
        <v>5802.6100431221676</v>
      </c>
      <c r="K36" s="95">
        <f>SUM(K30:K35)</f>
        <v>6274.2698847963457</v>
      </c>
      <c r="L36" s="95">
        <f>SUM(L30:L35)</f>
        <v>7042.7301319607377</v>
      </c>
      <c r="M36" s="95"/>
    </row>
    <row r="37" spans="1:13" x14ac:dyDescent="0.2">
      <c r="B37" t="s">
        <v>309</v>
      </c>
      <c r="H37" s="97">
        <f>H36-H18</f>
        <v>3071.5670955687533</v>
      </c>
      <c r="I37" s="97">
        <f>I36-I18</f>
        <v>2225.5915245250048</v>
      </c>
      <c r="J37" s="97">
        <f>J36-J18</f>
        <v>1673.5771705154857</v>
      </c>
      <c r="K37" s="97">
        <f>K36-K18</f>
        <v>1323.6873737650712</v>
      </c>
      <c r="L37" s="97">
        <f>L36-L18</f>
        <v>1106.9272078648355</v>
      </c>
      <c r="M37" s="97"/>
    </row>
    <row r="38" spans="1:13" x14ac:dyDescent="0.2">
      <c r="B38" s="69" t="s">
        <v>310</v>
      </c>
      <c r="C38" s="69"/>
      <c r="H38" s="99">
        <v>0.27</v>
      </c>
      <c r="I38" s="99">
        <v>0.27</v>
      </c>
      <c r="J38" s="99">
        <v>0.27</v>
      </c>
      <c r="K38" s="99">
        <v>0.27</v>
      </c>
      <c r="L38" s="99">
        <v>0.27</v>
      </c>
      <c r="M38" s="93"/>
    </row>
    <row r="39" spans="1:13" x14ac:dyDescent="0.2">
      <c r="B39" s="70" t="s">
        <v>311</v>
      </c>
      <c r="C39" s="70"/>
      <c r="H39" s="95">
        <f>H37*H38</f>
        <v>829.3231158035635</v>
      </c>
      <c r="I39" s="95">
        <f>I37*I38</f>
        <v>600.9097116217514</v>
      </c>
      <c r="J39" s="95">
        <f>J37*J38</f>
        <v>451.86583603918115</v>
      </c>
      <c r="K39" s="95">
        <f>K37*K38</f>
        <v>357.39559091656923</v>
      </c>
      <c r="L39" s="95">
        <f>L37*L38</f>
        <v>298.87034612350561</v>
      </c>
      <c r="M39" s="95"/>
    </row>
    <row r="40" spans="1:13" x14ac:dyDescent="0.2">
      <c r="B40" s="69" t="s">
        <v>312</v>
      </c>
      <c r="C40" s="69"/>
      <c r="D40" s="69"/>
      <c r="E40" s="69"/>
      <c r="F40" s="69"/>
      <c r="G40" s="69"/>
      <c r="H40" s="100">
        <f>IF(H39&lt;0,-H39,0)</f>
        <v>0</v>
      </c>
      <c r="I40" s="100">
        <f>IF(I39&lt;0,-I39,0)</f>
        <v>0</v>
      </c>
      <c r="J40" s="100">
        <f>IF(J39&lt;0,-J39,0)</f>
        <v>0</v>
      </c>
      <c r="K40" s="100">
        <f>IF(K39&lt;0,-K39,0)</f>
        <v>0</v>
      </c>
      <c r="L40" s="100">
        <f>IF(L39&lt;0,-L39,0)</f>
        <v>0</v>
      </c>
      <c r="M40" s="95"/>
    </row>
    <row r="41" spans="1:13" x14ac:dyDescent="0.2">
      <c r="B41" s="69" t="s">
        <v>313</v>
      </c>
      <c r="C41" s="69"/>
      <c r="D41" s="69"/>
      <c r="E41" s="69"/>
      <c r="F41" s="69"/>
      <c r="G41" s="69"/>
      <c r="H41" s="100">
        <f>IF(H39&gt;0,H39,0)</f>
        <v>829.3231158035635</v>
      </c>
      <c r="I41" s="100">
        <f>IF(I39&gt;0,I39,0)</f>
        <v>600.9097116217514</v>
      </c>
      <c r="J41" s="100">
        <f>IF(J39&gt;0,J39,0)</f>
        <v>451.86583603918115</v>
      </c>
      <c r="K41" s="100">
        <f>IF(K39&gt;0,K39,0)</f>
        <v>357.39559091656923</v>
      </c>
      <c r="L41" s="100">
        <f>IF(L39&gt;0,L39,0)</f>
        <v>298.87034612350561</v>
      </c>
      <c r="M41" s="95"/>
    </row>
    <row r="45" spans="1:13" ht="19" x14ac:dyDescent="0.25">
      <c r="A45" s="84" t="s">
        <v>0</v>
      </c>
      <c r="B45" s="318" t="s">
        <v>314</v>
      </c>
      <c r="C45" s="318"/>
      <c r="D45" s="318"/>
      <c r="E45" s="318"/>
      <c r="F45" s="85" t="s">
        <v>277</v>
      </c>
      <c r="G45" s="85" t="s">
        <v>277</v>
      </c>
      <c r="H45" s="86" t="s">
        <v>277</v>
      </c>
      <c r="I45" s="86" t="s">
        <v>277</v>
      </c>
      <c r="J45" s="86" t="s">
        <v>277</v>
      </c>
      <c r="K45" s="86" t="s">
        <v>277</v>
      </c>
      <c r="L45" s="86" t="s">
        <v>277</v>
      </c>
      <c r="M45" s="86"/>
    </row>
    <row r="46" spans="1:13" x14ac:dyDescent="0.2">
      <c r="A46" s="87"/>
      <c r="B46" s="87" t="s">
        <v>315</v>
      </c>
      <c r="C46" s="316" t="s">
        <v>3</v>
      </c>
      <c r="D46" s="316"/>
      <c r="E46" s="316"/>
      <c r="F46" s="316"/>
      <c r="G46" s="316"/>
      <c r="H46" s="317" t="s">
        <v>4</v>
      </c>
      <c r="I46" s="317"/>
      <c r="J46" s="317"/>
      <c r="K46" s="317"/>
      <c r="L46" s="317"/>
      <c r="M46" s="105"/>
    </row>
    <row r="47" spans="1:13" x14ac:dyDescent="0.2">
      <c r="A47" s="87"/>
      <c r="B47" s="88" t="s">
        <v>6</v>
      </c>
      <c r="C47" s="10" t="s">
        <v>7</v>
      </c>
      <c r="D47" s="10" t="s">
        <v>8</v>
      </c>
      <c r="E47" s="10" t="s">
        <v>9</v>
      </c>
      <c r="F47" s="10" t="s">
        <v>10</v>
      </c>
      <c r="G47" s="10" t="s">
        <v>11</v>
      </c>
      <c r="H47" s="11">
        <f>2026</f>
        <v>2026</v>
      </c>
      <c r="I47" s="11">
        <f>H47+1</f>
        <v>2027</v>
      </c>
      <c r="J47" s="11">
        <f t="shared" ref="J47:L47" si="6">I47+1</f>
        <v>2028</v>
      </c>
      <c r="K47" s="11">
        <f t="shared" si="6"/>
        <v>2029</v>
      </c>
      <c r="L47" s="11">
        <f t="shared" si="6"/>
        <v>2030</v>
      </c>
      <c r="M47" s="105"/>
    </row>
    <row r="48" spans="1:13" x14ac:dyDescent="0.2">
      <c r="B48" s="101" t="s">
        <v>316</v>
      </c>
      <c r="C48" s="101"/>
      <c r="H48" s="89">
        <f>'Vertical Statements '!G118</f>
        <v>159542</v>
      </c>
    </row>
    <row r="49" spans="2:13" x14ac:dyDescent="0.2">
      <c r="B49" s="101" t="s">
        <v>317</v>
      </c>
      <c r="C49" s="101"/>
      <c r="D49" s="89">
        <f>'Vertical Statements '!D118-'Vertical Statements '!C118+'Vertical Statements '!C26</f>
        <v>205203</v>
      </c>
      <c r="E49" s="89">
        <f>'Vertical Statements '!E118-'Vertical Statements '!D118+'Vertical Statements '!D26</f>
        <v>-6306</v>
      </c>
      <c r="F49" s="89">
        <f>'Vertical Statements '!F118-'Vertical Statements '!E118+'Vertical Statements '!E26</f>
        <v>17127</v>
      </c>
      <c r="G49" s="89">
        <f>'Vertical Statements '!G118-'Vertical Statements '!F118+'Vertical Statements '!F26</f>
        <v>27559</v>
      </c>
      <c r="H49" s="90">
        <f>H50*'Vertical Statements '!H4</f>
        <v>13629.211269115929</v>
      </c>
      <c r="I49" s="90">
        <f>I50*'Vertical Statements '!I4</f>
        <v>16608.900344038084</v>
      </c>
      <c r="J49" s="90">
        <f>J50*'Vertical Statements '!J4</f>
        <v>20338.588850760727</v>
      </c>
      <c r="K49" s="90">
        <f>K50*'Vertical Statements '!K4</f>
        <v>24646.489152737777</v>
      </c>
      <c r="L49" s="90">
        <f>L50*'Vertical Statements '!L4</f>
        <v>29556.61239193883</v>
      </c>
      <c r="M49" s="46"/>
    </row>
    <row r="50" spans="2:13" x14ac:dyDescent="0.2">
      <c r="B50" s="69" t="s">
        <v>20</v>
      </c>
      <c r="D50" s="91">
        <f>D49/'Vertical Statements '!C4</f>
        <v>0.9254717491701544</v>
      </c>
      <c r="E50" s="91">
        <f>E49/'Vertical Statements '!D4</f>
        <v>-1.1499493044867352E-2</v>
      </c>
      <c r="F50" s="91">
        <f>F49/'Vertical Statements '!E4</f>
        <v>2.3445392645645623E-2</v>
      </c>
      <c r="G50" s="91">
        <f>G49/'Vertical Statements '!F4</f>
        <v>3.0308929140959232E-2</v>
      </c>
      <c r="H50" s="102">
        <v>0.01</v>
      </c>
      <c r="I50" s="102">
        <v>0.01</v>
      </c>
      <c r="J50" s="102">
        <v>0.01</v>
      </c>
      <c r="K50" s="102">
        <v>0.01</v>
      </c>
      <c r="L50" s="102">
        <v>0.01</v>
      </c>
    </row>
    <row r="51" spans="2:13" x14ac:dyDescent="0.2">
      <c r="B51" s="70" t="s">
        <v>280</v>
      </c>
      <c r="C51" s="70"/>
    </row>
    <row r="52" spans="2:13" x14ac:dyDescent="0.2">
      <c r="B52" s="70" t="s">
        <v>281</v>
      </c>
      <c r="C52" s="70"/>
      <c r="J52" t="s">
        <v>283</v>
      </c>
    </row>
    <row r="53" spans="2:13" x14ac:dyDescent="0.2">
      <c r="B53" t="s">
        <v>318</v>
      </c>
      <c r="H53" s="103">
        <v>5</v>
      </c>
    </row>
    <row r="54" spans="2:13" x14ac:dyDescent="0.2">
      <c r="B54" t="s">
        <v>319</v>
      </c>
      <c r="H54" s="103">
        <v>6</v>
      </c>
    </row>
    <row r="55" spans="2:13" x14ac:dyDescent="0.2">
      <c r="B55" s="70" t="s">
        <v>285</v>
      </c>
      <c r="C55" s="70"/>
    </row>
    <row r="56" spans="2:13" x14ac:dyDescent="0.2">
      <c r="B56" t="s">
        <v>320</v>
      </c>
      <c r="H56" s="97">
        <f>$H$48/$H$53</f>
        <v>31908.400000000001</v>
      </c>
      <c r="I56" s="97">
        <f t="shared" ref="I56:L56" si="7">$H$48/$H$53</f>
        <v>31908.400000000001</v>
      </c>
      <c r="J56" s="97">
        <f t="shared" si="7"/>
        <v>31908.400000000001</v>
      </c>
      <c r="K56" s="97">
        <f t="shared" si="7"/>
        <v>31908.400000000001</v>
      </c>
      <c r="L56" s="97">
        <f t="shared" si="7"/>
        <v>31908.400000000001</v>
      </c>
      <c r="M56" s="97"/>
    </row>
    <row r="57" spans="2:13" x14ac:dyDescent="0.2">
      <c r="B57" t="s">
        <v>321</v>
      </c>
      <c r="H57" s="97">
        <f>$H$49/$H$54</f>
        <v>2271.5352115193214</v>
      </c>
      <c r="I57" s="97">
        <f t="shared" ref="I57:L57" si="8">$H$49/$H$54</f>
        <v>2271.5352115193214</v>
      </c>
      <c r="J57" s="97">
        <f t="shared" si="8"/>
        <v>2271.5352115193214</v>
      </c>
      <c r="K57" s="97">
        <f t="shared" si="8"/>
        <v>2271.5352115193214</v>
      </c>
      <c r="L57" s="97">
        <f t="shared" si="8"/>
        <v>2271.5352115193214</v>
      </c>
      <c r="M57" s="97"/>
    </row>
    <row r="58" spans="2:13" x14ac:dyDescent="0.2">
      <c r="B58" t="s">
        <v>322</v>
      </c>
      <c r="H58" s="97"/>
      <c r="I58" s="97">
        <f>$I$49/$H$54</f>
        <v>2768.1500573396806</v>
      </c>
      <c r="J58" s="97">
        <f t="shared" ref="J58:L58" si="9">$I$49/$H$54</f>
        <v>2768.1500573396806</v>
      </c>
      <c r="K58" s="97">
        <f t="shared" si="9"/>
        <v>2768.1500573396806</v>
      </c>
      <c r="L58" s="97">
        <f t="shared" si="9"/>
        <v>2768.1500573396806</v>
      </c>
    </row>
    <row r="59" spans="2:13" x14ac:dyDescent="0.2">
      <c r="B59" t="s">
        <v>323</v>
      </c>
      <c r="H59" s="97"/>
      <c r="I59" s="97"/>
      <c r="J59" s="97">
        <f>$J$49/$H$54</f>
        <v>3389.764808460121</v>
      </c>
      <c r="K59" s="97">
        <f t="shared" ref="K59:L59" si="10">$J$49/$H$54</f>
        <v>3389.764808460121</v>
      </c>
      <c r="L59" s="97">
        <f t="shared" si="10"/>
        <v>3389.764808460121</v>
      </c>
    </row>
    <row r="60" spans="2:13" x14ac:dyDescent="0.2">
      <c r="B60" t="s">
        <v>324</v>
      </c>
      <c r="H60" s="97"/>
      <c r="I60" s="97"/>
      <c r="J60" s="97"/>
      <c r="K60" s="97">
        <f>$K$49/$H$54</f>
        <v>4107.7481921229628</v>
      </c>
      <c r="L60" s="97">
        <f>$K$49/$H$54</f>
        <v>4107.7481921229628</v>
      </c>
    </row>
    <row r="61" spans="2:13" x14ac:dyDescent="0.2">
      <c r="B61" t="s">
        <v>325</v>
      </c>
      <c r="H61" s="104"/>
      <c r="I61" s="122"/>
      <c r="J61" s="122"/>
      <c r="K61" s="122"/>
      <c r="L61" s="122">
        <f>$L$49/$H$54</f>
        <v>4926.102065323138</v>
      </c>
    </row>
    <row r="62" spans="2:13" x14ac:dyDescent="0.2">
      <c r="B62" s="70" t="s">
        <v>298</v>
      </c>
      <c r="C62" s="70"/>
      <c r="H62" s="95">
        <f>SUM(H56:H61)</f>
        <v>34179.935211519325</v>
      </c>
      <c r="I62" s="95">
        <f t="shared" ref="I62:L62" si="11">SUM(I56:I61)</f>
        <v>36948.085268859009</v>
      </c>
      <c r="J62" s="95">
        <f t="shared" si="11"/>
        <v>40337.850077319134</v>
      </c>
      <c r="K62" s="95">
        <f t="shared" si="11"/>
        <v>44445.598269442096</v>
      </c>
      <c r="L62" s="95">
        <f t="shared" si="11"/>
        <v>49371.700334765235</v>
      </c>
    </row>
    <row r="63" spans="2:13" x14ac:dyDescent="0.2">
      <c r="B63" s="69" t="s">
        <v>20</v>
      </c>
      <c r="C63" s="69"/>
      <c r="H63" s="91">
        <f>+H62/'Vertical Statements '!H4</f>
        <v>2.5078439637201719E-2</v>
      </c>
      <c r="I63" s="91">
        <f>+I62/'Vertical Statements '!I4</f>
        <v>2.2245955182771542E-2</v>
      </c>
      <c r="J63" s="91">
        <f>+J62/'Vertical Statements '!J4</f>
        <v>1.9833160684503623E-2</v>
      </c>
      <c r="K63" s="91">
        <f>+K62/'Vertical Statements '!K4</f>
        <v>1.8033237104890049E-2</v>
      </c>
      <c r="L63" s="91">
        <f>+L62/'Vertical Statements '!L4</f>
        <v>1.670411334021172E-2</v>
      </c>
    </row>
    <row r="67" spans="1:13" ht="19" x14ac:dyDescent="0.25">
      <c r="A67" s="84" t="s">
        <v>0</v>
      </c>
      <c r="B67" s="84" t="s">
        <v>326</v>
      </c>
      <c r="C67" s="84"/>
      <c r="D67" s="85" t="s">
        <v>277</v>
      </c>
      <c r="E67" s="85" t="s">
        <v>277</v>
      </c>
      <c r="F67" s="85" t="s">
        <v>277</v>
      </c>
      <c r="G67" s="85" t="s">
        <v>277</v>
      </c>
      <c r="H67" s="86" t="s">
        <v>277</v>
      </c>
      <c r="I67" s="86" t="s">
        <v>277</v>
      </c>
      <c r="J67" s="86" t="s">
        <v>277</v>
      </c>
      <c r="K67" s="86" t="s">
        <v>277</v>
      </c>
      <c r="L67" s="86" t="s">
        <v>277</v>
      </c>
      <c r="M67" s="86"/>
    </row>
    <row r="68" spans="1:13" x14ac:dyDescent="0.2">
      <c r="A68" s="87"/>
      <c r="B68" s="87" t="s">
        <v>315</v>
      </c>
      <c r="C68" s="316" t="s">
        <v>3</v>
      </c>
      <c r="D68" s="316"/>
      <c r="E68" s="316"/>
      <c r="F68" s="316"/>
      <c r="G68" s="316"/>
      <c r="H68" s="317" t="s">
        <v>4</v>
      </c>
      <c r="I68" s="317"/>
      <c r="J68" s="317"/>
      <c r="K68" s="317"/>
      <c r="L68" s="317"/>
      <c r="M68" s="105"/>
    </row>
    <row r="69" spans="1:13" x14ac:dyDescent="0.2">
      <c r="A69" s="87"/>
      <c r="B69" s="88" t="s">
        <v>6</v>
      </c>
      <c r="C69" s="10" t="s">
        <v>7</v>
      </c>
      <c r="D69" s="10" t="s">
        <v>8</v>
      </c>
      <c r="E69" s="10" t="s">
        <v>9</v>
      </c>
      <c r="F69" s="10" t="s">
        <v>10</v>
      </c>
      <c r="G69" s="10" t="s">
        <v>11</v>
      </c>
      <c r="H69" s="130" t="s">
        <v>327</v>
      </c>
      <c r="I69" s="130" t="s">
        <v>328</v>
      </c>
      <c r="J69" s="130" t="s">
        <v>329</v>
      </c>
      <c r="K69" s="130" t="s">
        <v>330</v>
      </c>
      <c r="L69" s="130" t="s">
        <v>331</v>
      </c>
      <c r="M69" s="105"/>
    </row>
    <row r="70" spans="1:13" x14ac:dyDescent="0.2">
      <c r="B70" s="70" t="s">
        <v>332</v>
      </c>
      <c r="C70" s="70"/>
      <c r="H70" s="89">
        <f>'Vertical Statements '!G116</f>
        <v>12714</v>
      </c>
    </row>
    <row r="71" spans="1:13" x14ac:dyDescent="0.2">
      <c r="B71" s="70" t="s">
        <v>333</v>
      </c>
      <c r="C71" s="70"/>
      <c r="D71" s="89">
        <f>'Vertical Statements '!D116-'Vertical Statements '!C116+'Vertical Statements '!C20</f>
        <v>8209</v>
      </c>
      <c r="E71" s="89">
        <f>'Vertical Statements '!E116-'Vertical Statements '!D116+'Vertical Statements '!D20</f>
        <v>3177</v>
      </c>
      <c r="F71" s="89">
        <f>'Vertical Statements '!F116-'Vertical Statements '!E116+'Vertical Statements '!E20</f>
        <v>4346</v>
      </c>
      <c r="G71" s="89">
        <f>'Vertical Statements '!G116-'Vertical Statements '!F116+'Vertical Statements '!F20</f>
        <v>3585</v>
      </c>
      <c r="H71" s="90">
        <f>H72*'Vertical Statements '!H4</f>
        <v>7126.0497452478212</v>
      </c>
      <c r="I71" s="90">
        <f>I72*'Vertical Statements '!I4</f>
        <v>8683.9838145055255</v>
      </c>
      <c r="J71" s="90">
        <f>J72*'Vertical Statements '!J4</f>
        <v>10634.056001984985</v>
      </c>
      <c r="K71" s="90">
        <f>K72*'Vertical Statements '!K4</f>
        <v>12886.446932267178</v>
      </c>
      <c r="L71" s="90">
        <f>L72*'Vertical Statements '!L4</f>
        <v>15453.710860234281</v>
      </c>
      <c r="M71" s="106"/>
    </row>
    <row r="72" spans="1:13" x14ac:dyDescent="0.2">
      <c r="B72" s="69" t="s">
        <v>20</v>
      </c>
      <c r="D72" s="91">
        <f>D71/'Vertical Statements '!C4</f>
        <v>3.7022838793476689E-2</v>
      </c>
      <c r="E72" s="91">
        <f>E71/'Vertical Statements '!D4</f>
        <v>5.7935124331658068E-3</v>
      </c>
      <c r="F72" s="91">
        <f>F71/'Vertical Statements '!E4</f>
        <v>5.9493008955436369E-3</v>
      </c>
      <c r="G72" s="91">
        <f>G71/'Vertical Statements '!F4</f>
        <v>3.9427232835131483E-3</v>
      </c>
      <c r="H72" s="93">
        <f>AVERAGE($E$72:$G$72)</f>
        <v>5.228512204074197E-3</v>
      </c>
      <c r="I72" s="93">
        <f>AVERAGE($E$72:$G$72)</f>
        <v>5.228512204074197E-3</v>
      </c>
      <c r="J72" s="93">
        <f>AVERAGE($E$72:$G$72)</f>
        <v>5.228512204074197E-3</v>
      </c>
      <c r="K72" s="93">
        <f>AVERAGE($E$72:$G$72)</f>
        <v>5.228512204074197E-3</v>
      </c>
      <c r="L72" s="93">
        <f>AVERAGE($E$72:$G$72)</f>
        <v>5.228512204074197E-3</v>
      </c>
      <c r="M72" s="131"/>
    </row>
    <row r="73" spans="1:13" x14ac:dyDescent="0.2">
      <c r="B73" s="70" t="s">
        <v>280</v>
      </c>
      <c r="C73" s="70"/>
    </row>
    <row r="74" spans="1:13" x14ac:dyDescent="0.2">
      <c r="B74" s="70" t="s">
        <v>281</v>
      </c>
      <c r="C74" s="70"/>
    </row>
    <row r="75" spans="1:13" x14ac:dyDescent="0.2">
      <c r="B75" t="s">
        <v>334</v>
      </c>
      <c r="H75" s="103">
        <v>2.5</v>
      </c>
      <c r="L75" t="s">
        <v>283</v>
      </c>
    </row>
    <row r="76" spans="1:13" x14ac:dyDescent="0.2">
      <c r="B76" t="s">
        <v>335</v>
      </c>
      <c r="H76" s="103">
        <v>5</v>
      </c>
    </row>
    <row r="77" spans="1:13" x14ac:dyDescent="0.2">
      <c r="B77" s="70" t="s">
        <v>285</v>
      </c>
      <c r="C77" s="70"/>
    </row>
    <row r="78" spans="1:13" x14ac:dyDescent="0.2">
      <c r="B78" t="s">
        <v>336</v>
      </c>
      <c r="H78" s="97">
        <f>$H$70/$H$75</f>
        <v>5085.6000000000004</v>
      </c>
      <c r="I78" s="97">
        <f t="shared" ref="I78:L78" si="12">$H$70/$H$75</f>
        <v>5085.6000000000004</v>
      </c>
      <c r="J78" s="97">
        <f t="shared" si="12"/>
        <v>5085.6000000000004</v>
      </c>
      <c r="K78" s="97">
        <f t="shared" si="12"/>
        <v>5085.6000000000004</v>
      </c>
      <c r="L78" s="97">
        <f t="shared" si="12"/>
        <v>5085.6000000000004</v>
      </c>
      <c r="M78" s="97"/>
    </row>
    <row r="79" spans="1:13" x14ac:dyDescent="0.2">
      <c r="B79" t="s">
        <v>321</v>
      </c>
      <c r="H79" s="97">
        <f>$H$71/$H$76</f>
        <v>1425.2099490495643</v>
      </c>
      <c r="I79" s="97">
        <f t="shared" ref="I79:L79" si="13">$H$71/$H$76</f>
        <v>1425.2099490495643</v>
      </c>
      <c r="J79" s="97">
        <f t="shared" si="13"/>
        <v>1425.2099490495643</v>
      </c>
      <c r="K79" s="97">
        <f t="shared" si="13"/>
        <v>1425.2099490495643</v>
      </c>
      <c r="L79" s="97">
        <f t="shared" si="13"/>
        <v>1425.2099490495643</v>
      </c>
      <c r="M79" s="97"/>
    </row>
    <row r="80" spans="1:13" x14ac:dyDescent="0.2">
      <c r="B80" t="s">
        <v>322</v>
      </c>
      <c r="H80" s="97"/>
      <c r="I80" s="97">
        <f>$I$71/$H$76</f>
        <v>1736.796762901105</v>
      </c>
      <c r="J80" s="97">
        <f t="shared" ref="J80:L80" si="14">$I$71/$H$76</f>
        <v>1736.796762901105</v>
      </c>
      <c r="K80" s="97">
        <f t="shared" si="14"/>
        <v>1736.796762901105</v>
      </c>
      <c r="L80" s="97">
        <f t="shared" si="14"/>
        <v>1736.796762901105</v>
      </c>
      <c r="M80" s="97"/>
    </row>
    <row r="81" spans="2:13" x14ac:dyDescent="0.2">
      <c r="B81" t="s">
        <v>323</v>
      </c>
      <c r="H81" s="97"/>
      <c r="I81" s="97"/>
      <c r="J81" s="97">
        <f>$J$71/$H$76</f>
        <v>2126.8112003969973</v>
      </c>
      <c r="K81" s="97">
        <f t="shared" ref="K81:L81" si="15">$J$71/$H$76</f>
        <v>2126.8112003969973</v>
      </c>
      <c r="L81" s="97">
        <f t="shared" si="15"/>
        <v>2126.8112003969973</v>
      </c>
      <c r="M81" s="97"/>
    </row>
    <row r="82" spans="2:13" x14ac:dyDescent="0.2">
      <c r="B82" t="s">
        <v>324</v>
      </c>
      <c r="H82" s="97"/>
      <c r="I82" s="97"/>
      <c r="J82" s="97"/>
      <c r="K82" s="97">
        <f>$K$71/$H$76</f>
        <v>2577.2893864534353</v>
      </c>
      <c r="L82" s="97">
        <f>$K$71/$H$76</f>
        <v>2577.2893864534353</v>
      </c>
      <c r="M82" s="97"/>
    </row>
    <row r="83" spans="2:13" x14ac:dyDescent="0.2">
      <c r="B83" t="s">
        <v>325</v>
      </c>
      <c r="H83" s="104"/>
      <c r="I83" s="104"/>
      <c r="J83" s="104"/>
      <c r="K83" s="104"/>
      <c r="L83" s="122">
        <f>$L$71/$H$76</f>
        <v>3090.7421720468565</v>
      </c>
      <c r="M83" s="97"/>
    </row>
    <row r="84" spans="2:13" x14ac:dyDescent="0.2">
      <c r="B84" s="70" t="s">
        <v>298</v>
      </c>
      <c r="C84" s="70"/>
      <c r="H84" s="95">
        <f>SUM(H78:H83)</f>
        <v>6510.8099490495642</v>
      </c>
      <c r="I84" s="95">
        <f t="shared" ref="I84:L84" si="16">SUM(I78:I83)</f>
        <v>8247.6067119506697</v>
      </c>
      <c r="J84" s="95">
        <f t="shared" si="16"/>
        <v>10374.417912347668</v>
      </c>
      <c r="K84" s="95">
        <f t="shared" si="16"/>
        <v>12951.707298801102</v>
      </c>
      <c r="L84" s="95">
        <f t="shared" si="16"/>
        <v>16042.449470847958</v>
      </c>
      <c r="M84" s="95"/>
    </row>
    <row r="85" spans="2:13" x14ac:dyDescent="0.2">
      <c r="B85" s="69" t="s">
        <v>20</v>
      </c>
      <c r="C85" s="69"/>
      <c r="H85" s="91">
        <f>+H84/'Vertical Statements '!H4</f>
        <v>4.7770995844808664E-3</v>
      </c>
      <c r="I85" s="91">
        <f>+I84/'Vertical Statements '!I4</f>
        <v>4.9657753018617053E-3</v>
      </c>
      <c r="J85" s="91">
        <f>+J84/'Vertical Statements '!J4</f>
        <v>5.1008543358009974E-3</v>
      </c>
      <c r="K85" s="91">
        <f>+K84/'Vertical Statements '!K4</f>
        <v>5.2549907690858291E-3</v>
      </c>
      <c r="L85" s="91">
        <f>+L84/'Vertical Statements '!L4</f>
        <v>5.4277023557758337E-3</v>
      </c>
      <c r="M85" s="91"/>
    </row>
    <row r="87" spans="2:13" x14ac:dyDescent="0.2">
      <c r="H87" s="131">
        <f>+H85+H63+H19</f>
        <v>3.1981450870005479E-2</v>
      </c>
      <c r="I87" s="131">
        <f t="shared" ref="I87:L87" si="17">+I85+I63+I19</f>
        <v>2.9289580215457512E-2</v>
      </c>
      <c r="J87" s="131">
        <f t="shared" si="17"/>
        <v>2.6964162196642393E-2</v>
      </c>
      <c r="K87" s="131">
        <f t="shared" si="17"/>
        <v>2.5296863862798391E-2</v>
      </c>
      <c r="L87" s="131">
        <f t="shared" si="17"/>
        <v>2.4140098257393272E-2</v>
      </c>
    </row>
    <row r="91" spans="2:13" x14ac:dyDescent="0.2">
      <c r="C91" s="79">
        <f>+'Vertical Statements '!C19+'Vertical Statements '!C21+'Vertical Statements '!C27</f>
        <v>0.16453943570500792</v>
      </c>
      <c r="D91" s="79">
        <f>+'Vertical Statements '!D19+'Vertical Statements '!D21+'Vertical Statements '!D27</f>
        <v>0.19065160146761687</v>
      </c>
      <c r="E91" s="79">
        <f>+'Vertical Statements '!E19+'Vertical Statements '!E21+'Vertical Statements '!E27</f>
        <v>0.15778241383369884</v>
      </c>
      <c r="F91" s="79">
        <f>+'Vertical Statements '!F19+'Vertical Statements '!F21+'Vertical Statements '!F27</f>
        <v>0.12056704829148658</v>
      </c>
      <c r="G91" s="79">
        <f>+'Vertical Statements '!G19+'Vertical Statements '!G21+'Vertical Statements '!G27</f>
        <v>9.378581126384393E-2</v>
      </c>
      <c r="H91" s="79">
        <f>+'Vertical Statements '!H19+'Vertical Statements '!H21+'Vertical Statements '!H27</f>
        <v>3.1981450870005479E-2</v>
      </c>
      <c r="I91" s="79">
        <f>+'Vertical Statements '!I19+'Vertical Statements '!I21+'Vertical Statements '!I27</f>
        <v>2.9289580215457512E-2</v>
      </c>
      <c r="J91" s="79">
        <f>+'Vertical Statements '!J19+'Vertical Statements '!J21+'Vertical Statements '!J27</f>
        <v>2.6964162196642397E-2</v>
      </c>
      <c r="K91" s="79">
        <f>+'Vertical Statements '!K19+'Vertical Statements '!K21+'Vertical Statements '!K27</f>
        <v>2.5296863862798391E-2</v>
      </c>
      <c r="L91" s="79">
        <f>+'Vertical Statements '!L19+'Vertical Statements '!L21+'Vertical Statements '!L27</f>
        <v>2.4140098257393276E-2</v>
      </c>
    </row>
  </sheetData>
  <mergeCells count="7">
    <mergeCell ref="C68:G68"/>
    <mergeCell ref="H68:L68"/>
    <mergeCell ref="C2:G2"/>
    <mergeCell ref="H2:L2"/>
    <mergeCell ref="B45:E45"/>
    <mergeCell ref="C46:G46"/>
    <mergeCell ref="H46:L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2"/>
  <sheetViews>
    <sheetView workbookViewId="0">
      <selection activeCell="C7" sqref="C7:G7"/>
    </sheetView>
  </sheetViews>
  <sheetFormatPr baseColWidth="10" defaultColWidth="11.5" defaultRowHeight="15" x14ac:dyDescent="0.2"/>
  <cols>
    <col min="2" max="2" width="22.1640625" customWidth="1"/>
    <col min="3" max="3" width="11.1640625" customWidth="1"/>
    <col min="4" max="4" width="13.6640625" customWidth="1"/>
  </cols>
  <sheetData>
    <row r="1" spans="1:12" s="72" customFormat="1" x14ac:dyDescent="0.2">
      <c r="A1" s="72" t="s">
        <v>0</v>
      </c>
      <c r="B1" s="72" t="s">
        <v>337</v>
      </c>
    </row>
    <row r="4" spans="1:12" x14ac:dyDescent="0.2">
      <c r="B4" s="73"/>
      <c r="C4" s="7"/>
      <c r="D4" s="7"/>
      <c r="E4" s="7"/>
      <c r="F4" s="7"/>
      <c r="G4" s="7"/>
      <c r="H4" s="8"/>
      <c r="I4" s="8"/>
      <c r="J4" s="8"/>
      <c r="K4" s="8"/>
      <c r="L4" s="8"/>
    </row>
    <row r="5" spans="1:12" x14ac:dyDescent="0.2">
      <c r="B5" s="10"/>
      <c r="C5" s="310" t="s">
        <v>3</v>
      </c>
      <c r="D5" s="310"/>
      <c r="E5" s="310"/>
      <c r="F5" s="310"/>
      <c r="G5" s="310"/>
      <c r="H5" s="311" t="s">
        <v>4</v>
      </c>
      <c r="I5" s="311"/>
      <c r="J5" s="311"/>
      <c r="K5" s="311"/>
      <c r="L5" s="311"/>
    </row>
    <row r="6" spans="1:12" x14ac:dyDescent="0.2">
      <c r="B6" s="10"/>
      <c r="C6" s="10" t="s">
        <v>7</v>
      </c>
      <c r="D6" s="10" t="s">
        <v>8</v>
      </c>
      <c r="E6" s="10" t="s">
        <v>9</v>
      </c>
      <c r="F6" s="10" t="s">
        <v>10</v>
      </c>
      <c r="G6" s="10" t="s">
        <v>11</v>
      </c>
      <c r="H6" s="74" t="s">
        <v>12</v>
      </c>
      <c r="I6" s="74" t="s">
        <v>13</v>
      </c>
      <c r="J6" s="74" t="s">
        <v>14</v>
      </c>
      <c r="K6" s="74" t="s">
        <v>15</v>
      </c>
      <c r="L6" s="74" t="s">
        <v>16</v>
      </c>
    </row>
    <row r="7" spans="1:12" x14ac:dyDescent="0.2">
      <c r="B7" s="70" t="s">
        <v>17</v>
      </c>
      <c r="C7" s="75">
        <f>'Vertical Statements '!C4</f>
        <v>221728</v>
      </c>
      <c r="D7" s="75">
        <f>'Vertical Statements '!D4</f>
        <v>548372</v>
      </c>
      <c r="E7" s="75">
        <f>'Vertical Statements '!E4</f>
        <v>730506</v>
      </c>
      <c r="F7" s="75">
        <f>'Vertical Statements '!F4</f>
        <v>909270</v>
      </c>
      <c r="G7" s="75">
        <f>'Vertical Statements '!G4</f>
        <v>1076826</v>
      </c>
      <c r="H7" s="13">
        <f>'Vertical Statements '!H4</f>
        <v>1362921.1269115929</v>
      </c>
      <c r="I7" s="13">
        <f>'Vertical Statements '!I4</f>
        <v>1660890.0344038084</v>
      </c>
      <c r="J7" s="13">
        <f>'Vertical Statements '!J4</f>
        <v>2033858.8850760725</v>
      </c>
      <c r="K7" s="13">
        <f>'Vertical Statements '!K4</f>
        <v>2464648.9152737777</v>
      </c>
      <c r="L7" s="13">
        <f>'Vertical Statements '!L4</f>
        <v>2955661.2391938828</v>
      </c>
    </row>
    <row r="8" spans="1:12" x14ac:dyDescent="0.2">
      <c r="B8" t="s">
        <v>338</v>
      </c>
      <c r="C8" s="75">
        <f>140856</f>
        <v>140856</v>
      </c>
      <c r="D8" s="75">
        <v>395871</v>
      </c>
      <c r="E8" s="75">
        <v>527350</v>
      </c>
      <c r="F8" s="75">
        <v>616628</v>
      </c>
      <c r="G8" s="75">
        <v>693659</v>
      </c>
      <c r="H8" s="13">
        <f>H7*H9</f>
        <v>842924.79628465499</v>
      </c>
      <c r="I8" s="13">
        <f t="shared" ref="I8:L8" si="0">I7*I9</f>
        <v>993991.59995676123</v>
      </c>
      <c r="J8" s="13">
        <f t="shared" si="0"/>
        <v>1196863.396462328</v>
      </c>
      <c r="K8" s="13">
        <f t="shared" si="0"/>
        <v>1450370.0789995727</v>
      </c>
      <c r="L8" s="13">
        <f t="shared" si="0"/>
        <v>1739315.7290759285</v>
      </c>
    </row>
    <row r="9" spans="1:12" s="69" customFormat="1" x14ac:dyDescent="0.2">
      <c r="B9" s="76" t="s">
        <v>339</v>
      </c>
      <c r="C9" s="15">
        <f>C8/C7</f>
        <v>0.63526482897965075</v>
      </c>
      <c r="D9" s="15">
        <f t="shared" ref="D9:G9" si="1">D8/D7</f>
        <v>0.72190228530997202</v>
      </c>
      <c r="E9" s="15">
        <f t="shared" si="1"/>
        <v>0.72189687695925842</v>
      </c>
      <c r="F9" s="15">
        <f t="shared" si="1"/>
        <v>0.67815720303100291</v>
      </c>
      <c r="G9" s="15">
        <f t="shared" si="1"/>
        <v>0.64416999589534429</v>
      </c>
      <c r="H9" s="15">
        <f>1-SUM(H11,H13,H15,H17,H19)</f>
        <v>0.61846924201310149</v>
      </c>
      <c r="I9" s="15">
        <f t="shared" ref="I9:L9" si="2">1-SUM(I11,I13,I15,I17,I19)</f>
        <v>0.59846924201310148</v>
      </c>
      <c r="J9" s="15">
        <f t="shared" si="2"/>
        <v>0.58846924201310147</v>
      </c>
      <c r="K9" s="15">
        <f t="shared" si="2"/>
        <v>0.58846924201310147</v>
      </c>
      <c r="L9" s="15">
        <f t="shared" si="2"/>
        <v>0.58846924201310147</v>
      </c>
    </row>
    <row r="10" spans="1:12" x14ac:dyDescent="0.2">
      <c r="B10" t="s">
        <v>340</v>
      </c>
      <c r="C10" s="75">
        <v>17636</v>
      </c>
      <c r="D10" s="75">
        <v>33423</v>
      </c>
      <c r="E10" s="75">
        <v>47066</v>
      </c>
      <c r="F10" s="75">
        <v>65073</v>
      </c>
      <c r="G10" s="75">
        <v>90365</v>
      </c>
      <c r="H10" s="13">
        <f>H11*H7</f>
        <v>109033.69015292743</v>
      </c>
      <c r="I10" s="13">
        <f t="shared" ref="I10:L10" si="3">I11*I7</f>
        <v>132871.20275230467</v>
      </c>
      <c r="J10" s="13">
        <f t="shared" si="3"/>
        <v>162708.71080608582</v>
      </c>
      <c r="K10" s="13">
        <f t="shared" si="3"/>
        <v>197171.91322190221</v>
      </c>
      <c r="L10" s="13">
        <f t="shared" si="3"/>
        <v>236452.89913551064</v>
      </c>
    </row>
    <row r="11" spans="1:12" s="69" customFormat="1" x14ac:dyDescent="0.2">
      <c r="B11" s="76" t="s">
        <v>339</v>
      </c>
      <c r="C11" s="15">
        <f>C10/C7</f>
        <v>7.9538894501371055E-2</v>
      </c>
      <c r="D11" s="15">
        <f t="shared" ref="D11:G11" si="4">D10/D7</f>
        <v>6.0949501433333574E-2</v>
      </c>
      <c r="E11" s="15">
        <f t="shared" si="4"/>
        <v>6.4429313380040681E-2</v>
      </c>
      <c r="F11" s="15">
        <f t="shared" si="4"/>
        <v>7.1566201458312717E-2</v>
      </c>
      <c r="G11" s="15">
        <f t="shared" si="4"/>
        <v>8.3917921744088644E-2</v>
      </c>
      <c r="H11" s="15">
        <v>0.08</v>
      </c>
      <c r="I11" s="15">
        <f>H11</f>
        <v>0.08</v>
      </c>
      <c r="J11" s="15">
        <f t="shared" ref="J11:L11" si="5">I11</f>
        <v>0.08</v>
      </c>
      <c r="K11" s="15">
        <f t="shared" si="5"/>
        <v>0.08</v>
      </c>
      <c r="L11" s="15">
        <f t="shared" si="5"/>
        <v>0.08</v>
      </c>
    </row>
    <row r="12" spans="1:12" x14ac:dyDescent="0.2">
      <c r="B12" t="s">
        <v>341</v>
      </c>
      <c r="C12" s="75">
        <v>13627</v>
      </c>
      <c r="D12" s="75">
        <v>29230</v>
      </c>
      <c r="E12" s="75">
        <v>45321</v>
      </c>
      <c r="F12" s="75">
        <v>67288</v>
      </c>
      <c r="G12" s="75">
        <v>80831</v>
      </c>
      <c r="H12" s="13">
        <f>H7*H13</f>
        <v>109033.69015292743</v>
      </c>
      <c r="I12" s="13">
        <f t="shared" ref="I12:L12" si="6">I7*I13</f>
        <v>149480.10309634276</v>
      </c>
      <c r="J12" s="13">
        <f t="shared" si="6"/>
        <v>183047.29965684653</v>
      </c>
      <c r="K12" s="13">
        <f t="shared" si="6"/>
        <v>221818.40237463999</v>
      </c>
      <c r="L12" s="13">
        <f t="shared" si="6"/>
        <v>266009.51152744942</v>
      </c>
    </row>
    <row r="13" spans="1:12" s="69" customFormat="1" x14ac:dyDescent="0.2">
      <c r="B13" s="76" t="s">
        <v>339</v>
      </c>
      <c r="C13" s="15">
        <f>C12/C7</f>
        <v>6.1458182998989752E-2</v>
      </c>
      <c r="D13" s="15">
        <f t="shared" ref="D13:G13" si="7">D12/D7</f>
        <v>5.3303232112507565E-2</v>
      </c>
      <c r="E13" s="15">
        <f t="shared" si="7"/>
        <v>6.2040558188433771E-2</v>
      </c>
      <c r="F13" s="15">
        <f t="shared" si="7"/>
        <v>7.4002221562352213E-2</v>
      </c>
      <c r="G13" s="15">
        <f t="shared" si="7"/>
        <v>7.5064123637430744E-2</v>
      </c>
      <c r="H13" s="15">
        <v>0.08</v>
      </c>
      <c r="I13" s="15">
        <v>0.09</v>
      </c>
      <c r="J13" s="15">
        <v>0.09</v>
      </c>
      <c r="K13" s="15">
        <v>0.09</v>
      </c>
      <c r="L13" s="15">
        <v>0.09</v>
      </c>
    </row>
    <row r="14" spans="1:12" x14ac:dyDescent="0.2">
      <c r="B14" t="s">
        <v>342</v>
      </c>
      <c r="C14" s="75">
        <f>15080</f>
        <v>15080</v>
      </c>
      <c r="D14" s="75">
        <v>19658</v>
      </c>
      <c r="E14" s="75">
        <v>0</v>
      </c>
      <c r="F14" s="75">
        <v>0</v>
      </c>
      <c r="G14" s="75">
        <v>0</v>
      </c>
      <c r="H14" s="13">
        <v>0</v>
      </c>
      <c r="I14" s="13">
        <v>0</v>
      </c>
      <c r="J14" s="13">
        <v>0</v>
      </c>
      <c r="K14" s="13">
        <v>0</v>
      </c>
      <c r="L14" s="13">
        <v>0</v>
      </c>
    </row>
    <row r="15" spans="1:12" s="69" customFormat="1" x14ac:dyDescent="0.2">
      <c r="B15" s="76" t="s">
        <v>339</v>
      </c>
      <c r="C15" s="15">
        <f>C14/C7</f>
        <v>6.8011257035647282E-2</v>
      </c>
      <c r="D15" s="15">
        <f t="shared" ref="D15:L15" si="8">D14/D7</f>
        <v>3.5847928048842757E-2</v>
      </c>
      <c r="E15" s="15">
        <f t="shared" si="8"/>
        <v>0</v>
      </c>
      <c r="F15" s="15">
        <f t="shared" si="8"/>
        <v>0</v>
      </c>
      <c r="G15" s="15">
        <f t="shared" si="8"/>
        <v>0</v>
      </c>
      <c r="H15" s="15">
        <f t="shared" si="8"/>
        <v>0</v>
      </c>
      <c r="I15" s="15">
        <f t="shared" si="8"/>
        <v>0</v>
      </c>
      <c r="J15" s="15">
        <f t="shared" si="8"/>
        <v>0</v>
      </c>
      <c r="K15" s="15">
        <f t="shared" si="8"/>
        <v>0</v>
      </c>
      <c r="L15" s="15">
        <f t="shared" si="8"/>
        <v>0</v>
      </c>
    </row>
    <row r="16" spans="1:12" x14ac:dyDescent="0.2">
      <c r="B16" t="s">
        <v>343</v>
      </c>
      <c r="C16" s="75">
        <v>0</v>
      </c>
      <c r="D16" s="75">
        <v>0</v>
      </c>
      <c r="E16" s="75">
        <v>30237</v>
      </c>
      <c r="F16" s="75">
        <v>47233</v>
      </c>
      <c r="G16" s="75">
        <v>59567</v>
      </c>
      <c r="H16" s="13">
        <f>H17*H7</f>
        <v>109033.69015292743</v>
      </c>
      <c r="I16" s="13">
        <f t="shared" ref="I16:L16" si="9">I17*I7</f>
        <v>149480.10309634276</v>
      </c>
      <c r="J16" s="13">
        <f t="shared" si="9"/>
        <v>203385.88850760728</v>
      </c>
      <c r="K16" s="13">
        <f t="shared" si="9"/>
        <v>246464.89152737777</v>
      </c>
      <c r="L16" s="13">
        <f t="shared" si="9"/>
        <v>295566.12391938828</v>
      </c>
    </row>
    <row r="17" spans="2:12" x14ac:dyDescent="0.2">
      <c r="B17" s="76" t="s">
        <v>339</v>
      </c>
      <c r="C17" s="15">
        <f>C16/C7</f>
        <v>0</v>
      </c>
      <c r="D17" s="15">
        <f t="shared" ref="D17:G17" si="10">D16/D7</f>
        <v>0</v>
      </c>
      <c r="E17" s="15">
        <f t="shared" si="10"/>
        <v>4.1391857151070625E-2</v>
      </c>
      <c r="F17" s="15">
        <f t="shared" si="10"/>
        <v>5.1946066624874901E-2</v>
      </c>
      <c r="G17" s="15">
        <f t="shared" si="10"/>
        <v>5.5317200736237797E-2</v>
      </c>
      <c r="H17" s="15">
        <v>0.08</v>
      </c>
      <c r="I17" s="15">
        <v>0.09</v>
      </c>
      <c r="J17" s="15">
        <v>0.1</v>
      </c>
      <c r="K17" s="15">
        <f>J17</f>
        <v>0.1</v>
      </c>
      <c r="L17" s="15">
        <f>K17</f>
        <v>0.1</v>
      </c>
    </row>
    <row r="18" spans="2:12" x14ac:dyDescent="0.2">
      <c r="B18" t="s">
        <v>344</v>
      </c>
      <c r="C18" s="75">
        <v>34529</v>
      </c>
      <c r="D18" s="75">
        <v>70190</v>
      </c>
      <c r="E18" s="75">
        <v>80532</v>
      </c>
      <c r="F18" s="75">
        <v>113048</v>
      </c>
      <c r="G18" s="75">
        <v>152404</v>
      </c>
      <c r="H18" s="13">
        <f>H19*H7</f>
        <v>192895.26016815568</v>
      </c>
      <c r="I18" s="13">
        <f t="shared" ref="I18:L18" si="11">I19*I7</f>
        <v>235067.02550205699</v>
      </c>
      <c r="J18" s="13">
        <f t="shared" si="11"/>
        <v>287853.58964320493</v>
      </c>
      <c r="K18" s="13">
        <f t="shared" si="11"/>
        <v>348823.62915028504</v>
      </c>
      <c r="L18" s="13">
        <f t="shared" si="11"/>
        <v>418316.97553560609</v>
      </c>
    </row>
    <row r="19" spans="2:12" x14ac:dyDescent="0.2">
      <c r="B19" s="76" t="s">
        <v>339</v>
      </c>
      <c r="C19" s="23">
        <f>C18/C7</f>
        <v>0.15572683648434119</v>
      </c>
      <c r="D19" s="23">
        <f t="shared" ref="D19:G19" si="12">D18/D7</f>
        <v>0.12799705309534404</v>
      </c>
      <c r="E19" s="23">
        <f t="shared" si="12"/>
        <v>0.11024139432119653</v>
      </c>
      <c r="F19" s="23">
        <f t="shared" si="12"/>
        <v>0.12432830732345727</v>
      </c>
      <c r="G19" s="23">
        <f t="shared" si="12"/>
        <v>0.14153075798689854</v>
      </c>
      <c r="H19" s="23">
        <f>G19</f>
        <v>0.14153075798689854</v>
      </c>
      <c r="I19" s="23">
        <f>H19</f>
        <v>0.14153075798689854</v>
      </c>
      <c r="J19" s="23">
        <f t="shared" ref="J19:L19" si="13">I19</f>
        <v>0.14153075798689854</v>
      </c>
      <c r="K19" s="23">
        <f t="shared" si="13"/>
        <v>0.14153075798689854</v>
      </c>
      <c r="L19" s="23">
        <f t="shared" si="13"/>
        <v>0.14153075798689854</v>
      </c>
    </row>
    <row r="20" spans="2:12" x14ac:dyDescent="0.2">
      <c r="C20" s="13"/>
      <c r="D20" s="13"/>
    </row>
    <row r="22" spans="2:12" x14ac:dyDescent="0.2">
      <c r="B22" s="77" t="s">
        <v>345</v>
      </c>
      <c r="C22" s="78">
        <v>4.1689999999999998E-2</v>
      </c>
      <c r="E22" s="131"/>
    </row>
    <row r="25" spans="2:12" x14ac:dyDescent="0.2">
      <c r="B25" s="77" t="s">
        <v>346</v>
      </c>
      <c r="C25" s="77" t="s">
        <v>347</v>
      </c>
      <c r="D25" s="77" t="s">
        <v>348</v>
      </c>
    </row>
    <row r="26" spans="2:12" x14ac:dyDescent="0.2">
      <c r="B26" t="s">
        <v>338</v>
      </c>
      <c r="C26" s="79">
        <v>4.3299999999999998E-2</v>
      </c>
      <c r="D26" s="23">
        <v>0.59</v>
      </c>
      <c r="F26" s="131">
        <v>4.7100000000000003E-2</v>
      </c>
    </row>
    <row r="27" spans="2:12" x14ac:dyDescent="0.2">
      <c r="B27" t="s">
        <v>340</v>
      </c>
      <c r="C27" s="79">
        <v>4.3299999999999998E-2</v>
      </c>
      <c r="D27" s="23">
        <v>0.08</v>
      </c>
      <c r="F27" s="131">
        <v>4.5100000000000001E-2</v>
      </c>
    </row>
    <row r="28" spans="2:12" x14ac:dyDescent="0.2">
      <c r="B28" t="s">
        <v>341</v>
      </c>
      <c r="C28" s="79">
        <v>4.3299999999999998E-2</v>
      </c>
      <c r="D28" s="23">
        <v>0.09</v>
      </c>
      <c r="F28" s="131">
        <v>4.2299999999999997E-2</v>
      </c>
    </row>
    <row r="29" spans="2:12" x14ac:dyDescent="0.2">
      <c r="B29" t="s">
        <v>343</v>
      </c>
      <c r="C29" s="79">
        <v>5.1299999999999998E-2</v>
      </c>
      <c r="D29" s="23">
        <v>0.1</v>
      </c>
      <c r="F29" s="131">
        <v>4.5100000000000001E-2</v>
      </c>
    </row>
    <row r="30" spans="2:12" x14ac:dyDescent="0.2">
      <c r="B30" t="s">
        <v>342</v>
      </c>
      <c r="C30" s="79">
        <v>4.3299999999999998E-2</v>
      </c>
      <c r="D30" s="23">
        <v>0</v>
      </c>
      <c r="F30" s="131">
        <v>4.3299999999999998E-2</v>
      </c>
    </row>
    <row r="31" spans="2:12" x14ac:dyDescent="0.2">
      <c r="B31" t="s">
        <v>344</v>
      </c>
      <c r="C31" s="79">
        <v>5.5E-2</v>
      </c>
      <c r="D31" s="23">
        <v>0.14000000000000001</v>
      </c>
    </row>
    <row r="32" spans="2:12" x14ac:dyDescent="0.2">
      <c r="C32" s="79"/>
      <c r="D32" s="80"/>
    </row>
    <row r="33" spans="2:5" x14ac:dyDescent="0.2">
      <c r="B33" s="70" t="s">
        <v>349</v>
      </c>
      <c r="C33" s="81">
        <f>C26*D26+C27*D27+C28*D28+C29*D29+C30*D30+C31*D31</f>
        <v>4.5737999999999994E-2</v>
      </c>
    </row>
    <row r="35" spans="2:5" x14ac:dyDescent="0.2">
      <c r="B35" s="77" t="s">
        <v>350</v>
      </c>
      <c r="C35" s="77"/>
    </row>
    <row r="36" spans="2:5" x14ac:dyDescent="0.2">
      <c r="B36" s="299" t="s">
        <v>351</v>
      </c>
      <c r="C36">
        <v>2.0569999999999999</v>
      </c>
      <c r="E36" s="299" t="s">
        <v>352</v>
      </c>
    </row>
    <row r="38" spans="2:5" x14ac:dyDescent="0.2">
      <c r="B38" s="77" t="s">
        <v>337</v>
      </c>
      <c r="C38" s="82"/>
    </row>
    <row r="39" spans="2:5" x14ac:dyDescent="0.2">
      <c r="B39" t="s">
        <v>353</v>
      </c>
      <c r="C39" s="83">
        <f>C22+C36*C33</f>
        <v>0.13577306599999997</v>
      </c>
    </row>
    <row r="41" spans="2:5" x14ac:dyDescent="0.2">
      <c r="B41" s="70"/>
    </row>
    <row r="42" spans="2:5" x14ac:dyDescent="0.2">
      <c r="C42" s="79"/>
    </row>
  </sheetData>
  <mergeCells count="2">
    <mergeCell ref="C5:G5"/>
    <mergeCell ref="H5:L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9"/>
  <sheetViews>
    <sheetView workbookViewId="0">
      <selection activeCell="M10" sqref="M10"/>
    </sheetView>
  </sheetViews>
  <sheetFormatPr baseColWidth="10" defaultColWidth="11.5" defaultRowHeight="15" x14ac:dyDescent="0.2"/>
  <cols>
    <col min="1" max="1" width="38.5" bestFit="1" customWidth="1"/>
    <col min="16" max="16" width="13.6640625" customWidth="1"/>
  </cols>
  <sheetData>
    <row r="1" spans="1:16" ht="19" x14ac:dyDescent="0.25">
      <c r="A1" s="6" t="s">
        <v>354</v>
      </c>
      <c r="B1" s="7"/>
      <c r="C1" s="7"/>
      <c r="D1" s="7"/>
      <c r="E1" s="7"/>
      <c r="F1" s="7"/>
      <c r="G1" s="8"/>
      <c r="H1" s="8"/>
      <c r="I1" s="8"/>
      <c r="J1" s="8"/>
      <c r="K1" s="40"/>
      <c r="L1" s="41"/>
    </row>
    <row r="2" spans="1:16" x14ac:dyDescent="0.2">
      <c r="A2" s="9" t="s">
        <v>102</v>
      </c>
      <c r="B2" s="316" t="s">
        <v>3</v>
      </c>
      <c r="C2" s="316"/>
      <c r="D2" s="316"/>
      <c r="E2" s="316"/>
      <c r="F2" s="316"/>
      <c r="G2" s="317" t="s">
        <v>4</v>
      </c>
      <c r="H2" s="317"/>
      <c r="I2" s="317"/>
      <c r="J2" s="317"/>
      <c r="K2" s="322"/>
      <c r="L2" s="42"/>
    </row>
    <row r="3" spans="1:16" x14ac:dyDescent="0.2">
      <c r="A3" s="9" t="s">
        <v>355</v>
      </c>
      <c r="B3" s="10" t="s">
        <v>7</v>
      </c>
      <c r="C3" s="10" t="s">
        <v>8</v>
      </c>
      <c r="D3" s="10" t="s">
        <v>9</v>
      </c>
      <c r="E3" s="10" t="s">
        <v>10</v>
      </c>
      <c r="F3" s="10" t="s">
        <v>11</v>
      </c>
      <c r="G3" s="11">
        <f>2026</f>
        <v>2026</v>
      </c>
      <c r="H3" s="11">
        <f>G3+1</f>
        <v>2027</v>
      </c>
      <c r="I3" s="11">
        <f>H3+1</f>
        <v>2028</v>
      </c>
      <c r="J3" s="11">
        <f>I3+1</f>
        <v>2029</v>
      </c>
      <c r="K3" s="43">
        <f>J3+1</f>
        <v>2030</v>
      </c>
      <c r="L3" s="44"/>
      <c r="M3" s="323" t="s">
        <v>356</v>
      </c>
      <c r="N3" s="324"/>
      <c r="O3" s="324"/>
      <c r="P3" s="325"/>
    </row>
    <row r="4" spans="1:16" x14ac:dyDescent="0.2">
      <c r="A4" s="12" t="s">
        <v>357</v>
      </c>
      <c r="B4" s="13">
        <f>'Vertical Statements '!C4</f>
        <v>221728</v>
      </c>
      <c r="C4" s="13">
        <f>'Vertical Statements '!D4</f>
        <v>548372</v>
      </c>
      <c r="D4" s="13">
        <f>'Vertical Statements '!E4</f>
        <v>730506</v>
      </c>
      <c r="E4" s="13">
        <f>'Vertical Statements '!F4</f>
        <v>909270</v>
      </c>
      <c r="F4" s="13">
        <f>'Vertical Statements '!G4</f>
        <v>1076826</v>
      </c>
      <c r="G4" s="13">
        <f>'Vertical Statements '!H4</f>
        <v>1362921.1269115929</v>
      </c>
      <c r="H4" s="13">
        <f>'Vertical Statements '!I4</f>
        <v>1660890.0344038084</v>
      </c>
      <c r="I4" s="13">
        <f>'Vertical Statements '!J4</f>
        <v>2033858.8850760725</v>
      </c>
      <c r="J4" s="13">
        <f>'Vertical Statements '!K4</f>
        <v>2464648.9152737777</v>
      </c>
      <c r="K4" s="45">
        <f>'Vertical Statements '!L4</f>
        <v>2955661.2391938828</v>
      </c>
      <c r="L4" s="46"/>
      <c r="M4" s="16" t="s">
        <v>358</v>
      </c>
      <c r="P4" s="47">
        <f>'WACC Calculation'!C39</f>
        <v>0.13577306599999997</v>
      </c>
    </row>
    <row r="5" spans="1:16" x14ac:dyDescent="0.2">
      <c r="A5" s="14" t="s">
        <v>359</v>
      </c>
      <c r="B5" s="13"/>
      <c r="C5" s="15">
        <f>C4/B4-1</f>
        <v>1.4731743397315631</v>
      </c>
      <c r="D5" s="15">
        <f t="shared" ref="D5:K5" si="0">D4/C4-1</f>
        <v>0.33213584938691243</v>
      </c>
      <c r="E5" s="15">
        <f t="shared" si="0"/>
        <v>0.24471256909594175</v>
      </c>
      <c r="F5" s="15">
        <f t="shared" si="0"/>
        <v>0.18427529776634</v>
      </c>
      <c r="G5" s="15">
        <f t="shared" si="0"/>
        <v>0.26568371019235504</v>
      </c>
      <c r="H5" s="15">
        <f t="shared" si="0"/>
        <v>0.21862520259511942</v>
      </c>
      <c r="I5" s="15">
        <f t="shared" si="0"/>
        <v>0.2245596294435861</v>
      </c>
      <c r="J5" s="15">
        <f t="shared" si="0"/>
        <v>0.21180920336151643</v>
      </c>
      <c r="K5" s="48">
        <f t="shared" si="0"/>
        <v>0.19922201530499217</v>
      </c>
      <c r="L5" s="49"/>
      <c r="M5" s="16" t="s">
        <v>360</v>
      </c>
      <c r="P5" s="259">
        <v>1</v>
      </c>
    </row>
    <row r="6" spans="1:16" x14ac:dyDescent="0.2">
      <c r="A6" s="16"/>
      <c r="B6" s="13"/>
      <c r="C6" s="13"/>
      <c r="D6" s="13"/>
      <c r="E6" s="13"/>
      <c r="F6" s="13"/>
      <c r="G6" s="13"/>
      <c r="H6" s="13"/>
      <c r="I6" s="13"/>
      <c r="J6" s="13"/>
      <c r="K6" s="51"/>
      <c r="M6" s="16"/>
      <c r="P6" s="50"/>
    </row>
    <row r="7" spans="1:16" x14ac:dyDescent="0.2">
      <c r="A7" s="12" t="s">
        <v>361</v>
      </c>
      <c r="B7" s="13">
        <f>'Vertical Statements '!C38</f>
        <v>-129717</v>
      </c>
      <c r="C7" s="13">
        <f>'Vertical Statements '!D38</f>
        <v>-318342</v>
      </c>
      <c r="D7" s="13">
        <f>'Vertical Statements '!E38</f>
        <v>-1099040</v>
      </c>
      <c r="E7" s="13">
        <f>'Vertical Statements '!F38</f>
        <v>-203019</v>
      </c>
      <c r="F7" s="13">
        <f>'Vertical Statements '!G38</f>
        <v>-696007</v>
      </c>
      <c r="G7" s="13">
        <f>'Vertical Statements '!H38</f>
        <v>-128849.92545589828</v>
      </c>
      <c r="H7" s="13">
        <f>'Vertical Statements '!I38</f>
        <v>-105127.5697750703</v>
      </c>
      <c r="I7" s="13">
        <f>'Vertical Statements '!J38</f>
        <v>-52601.638588176342</v>
      </c>
      <c r="J7" s="13">
        <f>'Vertical Statements '!K38</f>
        <v>11980.52837839548</v>
      </c>
      <c r="K7" s="13">
        <f>'Vertical Statements '!L38</f>
        <v>66056.665862476919</v>
      </c>
      <c r="L7" s="46"/>
      <c r="M7" s="16" t="s">
        <v>362</v>
      </c>
      <c r="P7" s="52">
        <v>2.5000000000000001E-2</v>
      </c>
    </row>
    <row r="8" spans="1:16" x14ac:dyDescent="0.2">
      <c r="A8" s="16"/>
      <c r="B8" s="13"/>
      <c r="C8" s="13"/>
      <c r="D8" s="13"/>
      <c r="E8" s="13"/>
      <c r="F8" s="13"/>
      <c r="G8" s="13"/>
      <c r="H8" s="13"/>
      <c r="I8" s="13"/>
      <c r="J8" s="13"/>
      <c r="K8" s="51"/>
      <c r="M8" s="16" t="s">
        <v>363</v>
      </c>
      <c r="P8" s="53">
        <f ca="1">(K21*(1+P7))/(P4-P7)</f>
        <v>1172863.2739225193</v>
      </c>
    </row>
    <row r="9" spans="1:16" x14ac:dyDescent="0.2">
      <c r="A9" s="12" t="s">
        <v>364</v>
      </c>
      <c r="B9" s="13">
        <f>'Vertical Statements '!C46</f>
        <v>-5792</v>
      </c>
      <c r="C9" s="13">
        <f>'Vertical Statements '!D46</f>
        <v>-26921</v>
      </c>
      <c r="D9" s="13">
        <f>'Vertical Statements '!E46</f>
        <v>-4219</v>
      </c>
      <c r="E9" s="13">
        <f>'Vertical Statements '!F46</f>
        <v>3476</v>
      </c>
      <c r="F9" s="13">
        <f>'Vertical Statements '!G46</f>
        <v>7687</v>
      </c>
      <c r="G9" s="13">
        <f>G7*G10</f>
        <v>-34145.230245813043</v>
      </c>
      <c r="H9" s="13">
        <f t="shared" ref="H9:K9" si="1">H7*H10</f>
        <v>-27858.80599039363</v>
      </c>
      <c r="I9" s="13">
        <f t="shared" si="1"/>
        <v>-13939.434225866731</v>
      </c>
      <c r="J9" s="13">
        <f t="shared" si="1"/>
        <v>3174.8400202748026</v>
      </c>
      <c r="K9" s="13">
        <f t="shared" si="1"/>
        <v>17505.016453556385</v>
      </c>
      <c r="L9" s="54"/>
      <c r="M9" s="16" t="s">
        <v>365</v>
      </c>
      <c r="P9" s="55">
        <f ca="1">P8/K28</f>
        <v>8.5357116413984535</v>
      </c>
    </row>
    <row r="10" spans="1:16" x14ac:dyDescent="0.2">
      <c r="A10" s="14" t="s">
        <v>366</v>
      </c>
      <c r="B10" s="296">
        <f>'Vertical Statements '!C47</f>
        <v>4.4651048050756648E-2</v>
      </c>
      <c r="C10" s="296">
        <f>'Vertical Statements '!D47</f>
        <v>8.4566284059282154E-2</v>
      </c>
      <c r="D10" s="296">
        <f>'Vertical Statements '!E47</f>
        <v>3.8388047750764305E-3</v>
      </c>
      <c r="E10" s="296">
        <f>'Vertical Statements '!F47</f>
        <v>-1.7121550199734999E-2</v>
      </c>
      <c r="F10" s="296">
        <f>'Vertical Statements '!G47</f>
        <v>-1.1044429150856242E-2</v>
      </c>
      <c r="G10" s="296">
        <v>0.26500000000000001</v>
      </c>
      <c r="H10" s="296">
        <v>0.26500000000000001</v>
      </c>
      <c r="I10" s="296">
        <v>0.26500000000000001</v>
      </c>
      <c r="J10" s="296">
        <v>0.26500000000000001</v>
      </c>
      <c r="K10" s="296">
        <v>0.26500000000000001</v>
      </c>
      <c r="L10" s="57"/>
      <c r="M10" s="16"/>
      <c r="P10" s="50"/>
    </row>
    <row r="11" spans="1:16" x14ac:dyDescent="0.2">
      <c r="A11" s="12" t="s">
        <v>367</v>
      </c>
      <c r="B11" s="13">
        <f>B7-B9</f>
        <v>-123925</v>
      </c>
      <c r="C11" s="13">
        <f t="shared" ref="C11:K11" si="2">C7-C9</f>
        <v>-291421</v>
      </c>
      <c r="D11" s="13">
        <f t="shared" si="2"/>
        <v>-1094821</v>
      </c>
      <c r="E11" s="13">
        <f t="shared" si="2"/>
        <v>-206495</v>
      </c>
      <c r="F11" s="13">
        <f t="shared" si="2"/>
        <v>-703694</v>
      </c>
      <c r="G11" s="13">
        <f t="shared" si="2"/>
        <v>-94704.695210085236</v>
      </c>
      <c r="H11" s="13">
        <f t="shared" si="2"/>
        <v>-77268.763784676674</v>
      </c>
      <c r="I11" s="13">
        <f t="shared" si="2"/>
        <v>-38662.204362309611</v>
      </c>
      <c r="J11" s="13">
        <f t="shared" si="2"/>
        <v>8805.6883581206785</v>
      </c>
      <c r="K11" s="51">
        <f t="shared" si="2"/>
        <v>48551.649408920537</v>
      </c>
      <c r="L11" s="58"/>
      <c r="M11" s="16" t="s">
        <v>368</v>
      </c>
      <c r="P11" s="35">
        <f ca="1">P8/((1+P4)^K24)</f>
        <v>620568.26105275005</v>
      </c>
    </row>
    <row r="12" spans="1:16" x14ac:dyDescent="0.2">
      <c r="A12" s="16"/>
      <c r="B12" s="13"/>
      <c r="C12" s="13"/>
      <c r="D12" s="13"/>
      <c r="E12" s="13"/>
      <c r="F12" s="13"/>
      <c r="G12" s="13"/>
      <c r="H12" s="13"/>
      <c r="I12" s="13"/>
      <c r="J12" s="13"/>
      <c r="K12" s="59"/>
      <c r="M12" s="16" t="s">
        <v>369</v>
      </c>
      <c r="P12" s="35">
        <f ca="1">SUM(G22:K22)</f>
        <v>-1562.299257912513</v>
      </c>
    </row>
    <row r="13" spans="1:16" x14ac:dyDescent="0.2">
      <c r="A13" s="12" t="s">
        <v>370</v>
      </c>
      <c r="B13" s="13">
        <f>'Vertical Statements '!C18+'Vertical Statements '!C20+'Vertical Statements '!C26</f>
        <v>36483</v>
      </c>
      <c r="C13" s="13">
        <f>'Vertical Statements '!D18+'Vertical Statements '!D20+'Vertical Statements '!D26</f>
        <v>104548</v>
      </c>
      <c r="D13" s="13">
        <f>'Vertical Statements '!E18+'Vertical Statements '!E20+'Vertical Statements '!E26</f>
        <v>115261</v>
      </c>
      <c r="E13" s="13">
        <f>'Vertical Statements '!F18+'Vertical Statements '!F20+'Vertical Statements '!F26</f>
        <v>109628</v>
      </c>
      <c r="F13" s="13">
        <f>'Vertical Statements '!G18+'Vertical Statements '!G20+'Vertical Statements '!G26</f>
        <v>100991</v>
      </c>
      <c r="G13" s="13">
        <f>'Vertical Statements '!H18+'Vertical Statements '!H20+'Vertical Statements '!H26</f>
        <v>43588.195060015612</v>
      </c>
      <c r="H13" s="13">
        <f>'Vertical Statements '!I18+'Vertical Statements '!I20+'Vertical Statements '!I26</f>
        <v>48646.771891724333</v>
      </c>
      <c r="I13" s="13">
        <f>'Vertical Statements '!J18+'Vertical Statements '!J20+'Vertical Statements '!J26</f>
        <v>54841.300862273485</v>
      </c>
      <c r="J13" s="13">
        <f>'Vertical Statements '!K18+'Vertical Statements '!K20+'Vertical Statements '!K26</f>
        <v>62347.888079274475</v>
      </c>
      <c r="K13" s="45">
        <f>'Vertical Statements '!L18+'Vertical Statements '!L20+'Vertical Statements '!L26</f>
        <v>71349.952729709097</v>
      </c>
      <c r="L13" s="46"/>
      <c r="M13" s="16" t="s">
        <v>371</v>
      </c>
      <c r="P13" s="50">
        <v>0</v>
      </c>
    </row>
    <row r="14" spans="1:16" x14ac:dyDescent="0.2">
      <c r="A14" s="12" t="s">
        <v>372</v>
      </c>
      <c r="B14" s="13">
        <f>'Vertical Statements '!C173</f>
        <v>33859</v>
      </c>
      <c r="C14" s="13">
        <f>'Vertical Statements '!D173</f>
        <v>108916</v>
      </c>
      <c r="D14" s="13">
        <f>'Vertical Statements '!E173</f>
        <v>129167</v>
      </c>
      <c r="E14" s="13">
        <f>'Vertical Statements '!F173</f>
        <v>74913</v>
      </c>
      <c r="F14" s="13">
        <f>'Vertical Statements '!G173</f>
        <v>55605</v>
      </c>
      <c r="G14" s="13">
        <f>'Vertical Statements '!H173</f>
        <v>70378.342705245901</v>
      </c>
      <c r="H14" s="13">
        <f>'Vertical Statements '!I173</f>
        <v>85764.822137489042</v>
      </c>
      <c r="I14" s="13">
        <f>'Vertical Statements '!J173</f>
        <v>105024.13881597864</v>
      </c>
      <c r="J14" s="13">
        <f>'Vertical Statements '!K173</f>
        <v>127269.21799232041</v>
      </c>
      <c r="K14" s="13">
        <f>'Vertical Statements '!L173</f>
        <v>152624.04808704086</v>
      </c>
      <c r="L14" s="46"/>
      <c r="M14" s="12" t="s">
        <v>373</v>
      </c>
      <c r="P14" s="60">
        <f ca="1">SUM(P11:P13)</f>
        <v>619005.96179483749</v>
      </c>
    </row>
    <row r="15" spans="1:16" x14ac:dyDescent="0.2">
      <c r="A15" s="16"/>
      <c r="B15" s="13"/>
      <c r="C15" s="13"/>
      <c r="D15" s="13"/>
      <c r="E15" s="13"/>
      <c r="F15" s="13"/>
      <c r="G15" s="13"/>
      <c r="H15" s="13"/>
      <c r="I15" s="13"/>
      <c r="J15" s="13"/>
      <c r="K15" s="59"/>
      <c r="M15" s="16" t="s">
        <v>374</v>
      </c>
      <c r="P15" s="61">
        <v>0</v>
      </c>
    </row>
    <row r="16" spans="1:16" x14ac:dyDescent="0.2">
      <c r="A16" s="12" t="s">
        <v>375</v>
      </c>
      <c r="B16" s="13">
        <f>'Vertical Statements '!C188</f>
        <v>-38361</v>
      </c>
      <c r="C16" s="13">
        <f>'Vertical Statements '!D188</f>
        <v>-26284</v>
      </c>
      <c r="D16" s="13">
        <f>'Vertical Statements '!E188</f>
        <v>-57234</v>
      </c>
      <c r="E16" s="13">
        <f>'Vertical Statements '!F188</f>
        <v>-78227</v>
      </c>
      <c r="F16" s="13">
        <f>'Vertical Statements '!G188</f>
        <v>-42005</v>
      </c>
      <c r="G16" s="13">
        <f ca="1">'Vertical Statements '!H188</f>
        <v>-69555.711895642395</v>
      </c>
      <c r="H16" s="13">
        <f ca="1">'Vertical Statements '!I188</f>
        <v>-59637.700796231482</v>
      </c>
      <c r="I16" s="13">
        <f ca="1">'Vertical Statements '!J188</f>
        <v>-70472.529318253481</v>
      </c>
      <c r="J16" s="13">
        <f ca="1">'Vertical Statements '!K188</f>
        <v>-78593.983472262946</v>
      </c>
      <c r="K16" s="13">
        <f ca="1">'Vertical Statements '!L188</f>
        <v>-87534.126318498922</v>
      </c>
      <c r="L16" s="46"/>
      <c r="M16" s="16" t="s">
        <v>376</v>
      </c>
      <c r="P16" s="60">
        <f>'Vertical Statements '!G103</f>
        <v>558469</v>
      </c>
    </row>
    <row r="17" spans="1:16" x14ac:dyDescent="0.2">
      <c r="A17" s="12" t="s">
        <v>377</v>
      </c>
      <c r="B17" s="13">
        <f>'Vertical Statements '!C169+'Vertical Statements '!C175+'Vertical Statements '!C176</f>
        <v>4838</v>
      </c>
      <c r="C17" s="13">
        <f>'Vertical Statements '!D169+'Vertical Statements '!D175+'Vertical Statements '!D176</f>
        <v>45047</v>
      </c>
      <c r="D17" s="13">
        <f>'Vertical Statements '!E169+'Vertical Statements '!E175+'Vertical Statements '!E176</f>
        <v>789031</v>
      </c>
      <c r="E17" s="13">
        <f>'Vertical Statements '!F169+'Vertical Statements '!F175+'Vertical Statements '!F176</f>
        <v>2837</v>
      </c>
      <c r="F17" s="13">
        <f>'Vertical Statements '!G169+'Vertical Statements '!G175+'Vertical Statements '!G176</f>
        <v>556150</v>
      </c>
      <c r="G17" s="13">
        <f>'Vertical Statements '!H169+'Vertical Statements '!H175+'Vertical Statements '!H176</f>
        <v>0</v>
      </c>
      <c r="H17" s="13">
        <f>'Vertical Statements '!I169+'Vertical Statements '!I175+'Vertical Statements '!I176</f>
        <v>0</v>
      </c>
      <c r="I17" s="13">
        <f>'Vertical Statements '!J169+'Vertical Statements '!J175+'Vertical Statements '!J176</f>
        <v>0</v>
      </c>
      <c r="J17" s="13">
        <f>'Vertical Statements '!K169+'Vertical Statements '!K175+'Vertical Statements '!K176</f>
        <v>0</v>
      </c>
      <c r="K17" s="13">
        <f>'Vertical Statements '!L169+'Vertical Statements '!L175+'Vertical Statements '!L176</f>
        <v>0</v>
      </c>
      <c r="L17" s="46"/>
      <c r="M17" s="16" t="s">
        <v>378</v>
      </c>
      <c r="P17" s="50">
        <v>0</v>
      </c>
    </row>
    <row r="18" spans="1:16" x14ac:dyDescent="0.2">
      <c r="A18" s="16"/>
      <c r="B18" s="13"/>
      <c r="C18" s="13"/>
      <c r="D18" s="13"/>
      <c r="E18" s="13"/>
      <c r="F18" s="13"/>
      <c r="G18" s="13"/>
      <c r="H18" s="13"/>
      <c r="I18" s="13"/>
      <c r="J18" s="13"/>
      <c r="K18" s="59"/>
      <c r="M18" s="16" t="s">
        <v>379</v>
      </c>
      <c r="P18" s="50">
        <v>0</v>
      </c>
    </row>
    <row r="19" spans="1:16" x14ac:dyDescent="0.2">
      <c r="A19" s="12" t="s">
        <v>380</v>
      </c>
      <c r="B19" s="13">
        <f>'Vertical Statements '!C194+'Vertical Statements '!C195</f>
        <v>-1794</v>
      </c>
      <c r="C19" s="13">
        <f>'Vertical Statements '!D194+'Vertical Statements '!D195</f>
        <v>-10653</v>
      </c>
      <c r="D19" s="13">
        <f>'Vertical Statements '!E194+'Vertical Statements '!E195</f>
        <v>-13121</v>
      </c>
      <c r="E19" s="13">
        <f>'Vertical Statements '!F194+'Vertical Statements '!F195</f>
        <v>-18184</v>
      </c>
      <c r="F19" s="13">
        <f>'Vertical Statements '!G194+'Vertical Statements '!G195</f>
        <v>-23123</v>
      </c>
      <c r="G19" s="13">
        <f>'Vertical Statements '!H194+'Vertical Statements '!H195</f>
        <v>-38268.698592254106</v>
      </c>
      <c r="H19" s="13">
        <f>'Vertical Statements '!I194+'Vertical Statements '!I195</f>
        <v>-41930.755372070431</v>
      </c>
      <c r="I19" s="13">
        <f>'Vertical Statements '!J194+'Vertical Statements '!J195</f>
        <v>-46439.426732547356</v>
      </c>
      <c r="J19" s="13">
        <f>'Vertical Statements '!K194+'Vertical Statements '!K195</f>
        <v>-51839.545015263429</v>
      </c>
      <c r="K19" s="51">
        <f>'Vertical Statements '!L194+'Vertical Statements '!L195</f>
        <v>-58238.684052346885</v>
      </c>
      <c r="L19" s="46"/>
      <c r="M19" s="16" t="s">
        <v>381</v>
      </c>
      <c r="P19" s="35">
        <v>0</v>
      </c>
    </row>
    <row r="20" spans="1:16" x14ac:dyDescent="0.2">
      <c r="A20" s="16"/>
      <c r="B20" s="13"/>
      <c r="C20" s="13"/>
      <c r="D20" s="13"/>
      <c r="E20" s="13"/>
      <c r="F20" s="13"/>
      <c r="G20" s="13"/>
      <c r="H20" s="13"/>
      <c r="I20" s="13"/>
      <c r="J20" s="13"/>
      <c r="K20" s="51"/>
      <c r="M20" s="12" t="s">
        <v>382</v>
      </c>
      <c r="P20" s="53">
        <f ca="1">P14-P15+P16-P17-P18-P19</f>
        <v>1177474.9617948374</v>
      </c>
    </row>
    <row r="21" spans="1:16" x14ac:dyDescent="0.2">
      <c r="A21" s="18" t="s">
        <v>383</v>
      </c>
      <c r="B21" s="19"/>
      <c r="C21" s="19"/>
      <c r="D21" s="19"/>
      <c r="E21" s="19"/>
      <c r="F21" s="19"/>
      <c r="G21" s="19">
        <f ca="1">G11+G13+G14+G16+G17+G19</f>
        <v>-88562.567932720223</v>
      </c>
      <c r="H21" s="19">
        <f ca="1">H11+H13+H14+H16+H17+H19</f>
        <v>-44425.625923765212</v>
      </c>
      <c r="I21" s="19">
        <f ca="1">I11+I13+I14+I16+I17+I19</f>
        <v>4291.2792651416894</v>
      </c>
      <c r="J21" s="19">
        <f ca="1">J11+J13+J14+J16+J17+J19</f>
        <v>67989.265942189173</v>
      </c>
      <c r="K21" s="19">
        <f ca="1">K11+K13+K14+K16+K17+K19</f>
        <v>126752.83985482468</v>
      </c>
      <c r="L21" s="62"/>
      <c r="M21" s="12"/>
      <c r="P21" s="50"/>
    </row>
    <row r="22" spans="1:16" x14ac:dyDescent="0.2">
      <c r="A22" s="20" t="s">
        <v>384</v>
      </c>
      <c r="B22" s="21"/>
      <c r="C22" s="21"/>
      <c r="D22" s="21"/>
      <c r="E22" s="21"/>
      <c r="F22" s="21"/>
      <c r="G22" s="21">
        <f ca="1">G21/((1+$P$4)^G24)</f>
        <v>-77975.58384142931</v>
      </c>
      <c r="H22" s="21">
        <f ca="1">H21/((1+$P$4)^H24)</f>
        <v>-34438.991433675517</v>
      </c>
      <c r="I22" s="21">
        <f ca="1">I21/((1+$P$4)^I24)</f>
        <v>2928.9508346610946</v>
      </c>
      <c r="J22" s="21">
        <f ca="1">J21/((1+$P$4)^J24)</f>
        <v>40857.716461456585</v>
      </c>
      <c r="K22" s="63">
        <f ca="1">K21/((1+$P$4)^K24)</f>
        <v>67065.608721074634</v>
      </c>
      <c r="L22" s="62"/>
      <c r="M22" s="16" t="s">
        <v>385</v>
      </c>
      <c r="P22" s="64">
        <f>'Vertical Statements '!H65/1000</f>
        <v>153676.514</v>
      </c>
    </row>
    <row r="23" spans="1:16" x14ac:dyDescent="0.2">
      <c r="A23" s="16"/>
      <c r="B23" s="13"/>
      <c r="C23" s="13"/>
      <c r="D23" s="13"/>
      <c r="E23" s="13"/>
      <c r="F23" s="13"/>
      <c r="G23" s="13"/>
      <c r="H23" s="13"/>
      <c r="I23" s="13"/>
      <c r="J23" s="13"/>
      <c r="K23" s="51"/>
      <c r="M23" s="16" t="s">
        <v>386</v>
      </c>
      <c r="P23" s="64">
        <f>'Vertical Statements '!H66/1000</f>
        <v>153740.50924571429</v>
      </c>
    </row>
    <row r="24" spans="1:16" x14ac:dyDescent="0.2">
      <c r="A24" s="22" t="s">
        <v>387</v>
      </c>
      <c r="B24" s="13"/>
      <c r="C24" s="13"/>
      <c r="D24" s="13"/>
      <c r="E24" s="13"/>
      <c r="F24" s="13"/>
      <c r="G24" s="17">
        <v>1</v>
      </c>
      <c r="H24" s="17">
        <v>2</v>
      </c>
      <c r="I24" s="17">
        <v>3</v>
      </c>
      <c r="J24" s="17">
        <v>4</v>
      </c>
      <c r="K24" s="56">
        <v>5</v>
      </c>
      <c r="L24" s="65"/>
      <c r="M24" s="66" t="s">
        <v>388</v>
      </c>
      <c r="N24" s="67"/>
      <c r="O24" s="67"/>
      <c r="P24" s="68">
        <f ca="1">P20/P23</f>
        <v>7.6588465042284293</v>
      </c>
    </row>
    <row r="25" spans="1:16" x14ac:dyDescent="0.2">
      <c r="A25" s="22" t="s">
        <v>389</v>
      </c>
      <c r="B25" s="13"/>
      <c r="C25" s="13"/>
      <c r="D25" s="13"/>
      <c r="E25" s="13"/>
      <c r="F25" s="13"/>
      <c r="G25" s="17"/>
      <c r="H25" s="17"/>
      <c r="I25" s="17"/>
      <c r="J25" s="17"/>
      <c r="K25" s="56"/>
      <c r="L25" s="69"/>
    </row>
    <row r="26" spans="1:16" x14ac:dyDescent="0.2">
      <c r="A26" s="16"/>
      <c r="B26" s="13"/>
      <c r="C26" s="13"/>
      <c r="D26" s="13"/>
      <c r="E26" s="13"/>
      <c r="F26" s="13"/>
      <c r="G26" s="13"/>
      <c r="H26" s="13"/>
      <c r="I26" s="13"/>
      <c r="J26" s="13"/>
      <c r="K26" s="51"/>
    </row>
    <row r="27" spans="1:16" x14ac:dyDescent="0.2">
      <c r="A27" s="22" t="s">
        <v>390</v>
      </c>
      <c r="B27" s="13"/>
      <c r="C27" s="13"/>
      <c r="D27" s="13"/>
      <c r="E27" s="13"/>
      <c r="F27" s="13"/>
      <c r="G27" s="23"/>
      <c r="H27" s="15">
        <f ca="1">(H21/G21)-1</f>
        <v>-0.49837016969161563</v>
      </c>
      <c r="I27" s="15">
        <f ca="1">(I21/H21)-1</f>
        <v>-1.0965946832691915</v>
      </c>
      <c r="J27" s="15">
        <f ca="1">(J21/I21)-1</f>
        <v>14.84358922861766</v>
      </c>
      <c r="K27" s="48">
        <f ca="1">(K21/J21)-1</f>
        <v>0.86430663867737278</v>
      </c>
      <c r="L27" s="49"/>
    </row>
    <row r="28" spans="1:16" x14ac:dyDescent="0.2">
      <c r="A28" s="22" t="s">
        <v>46</v>
      </c>
      <c r="B28" s="13"/>
      <c r="C28" s="13"/>
      <c r="D28" s="13"/>
      <c r="E28" s="13"/>
      <c r="F28" s="13"/>
      <c r="G28" s="13">
        <f>G7+G13</f>
        <v>-85261.730395882667</v>
      </c>
      <c r="H28" s="13">
        <f t="shared" ref="H28:K28" si="3">H7+H13</f>
        <v>-56480.797883345964</v>
      </c>
      <c r="I28" s="13">
        <f t="shared" si="3"/>
        <v>2239.6622740971434</v>
      </c>
      <c r="J28" s="13">
        <f t="shared" si="3"/>
        <v>74328.416457669955</v>
      </c>
      <c r="K28" s="13">
        <f t="shared" si="3"/>
        <v>137406.61859218602</v>
      </c>
      <c r="L28" s="46"/>
      <c r="N28" s="70"/>
    </row>
    <row r="29" spans="1:16" x14ac:dyDescent="0.2">
      <c r="A29" s="24" t="s">
        <v>391</v>
      </c>
      <c r="B29" s="25"/>
      <c r="C29" s="25"/>
      <c r="D29" s="25"/>
      <c r="E29" s="25"/>
      <c r="F29" s="25"/>
      <c r="G29" s="26"/>
      <c r="H29" s="27">
        <f>(H28/G28)-1</f>
        <v>-0.33755979826943028</v>
      </c>
      <c r="I29" s="27">
        <f>(I28/H28)-1</f>
        <v>-1.0396535169124714</v>
      </c>
      <c r="J29" s="27">
        <f>(J28/I28)-1</f>
        <v>32.187332446198106</v>
      </c>
      <c r="K29" s="71">
        <f>(K28/J28)-1</f>
        <v>0.848641813463618</v>
      </c>
      <c r="L29" s="49"/>
      <c r="N29" s="70"/>
    </row>
    <row r="32" spans="1:16" x14ac:dyDescent="0.2">
      <c r="B32" s="326" t="s">
        <v>392</v>
      </c>
      <c r="C32" s="326"/>
      <c r="D32" s="326"/>
      <c r="E32" s="326"/>
      <c r="F32" s="326"/>
      <c r="G32" s="326"/>
      <c r="H32" s="326"/>
    </row>
    <row r="33" spans="2:15" ht="36" x14ac:dyDescent="0.2">
      <c r="D33" s="327" t="s">
        <v>362</v>
      </c>
      <c r="E33" s="328"/>
      <c r="F33" s="328"/>
      <c r="G33" s="328"/>
      <c r="H33" s="329"/>
      <c r="N33" s="265" t="s">
        <v>393</v>
      </c>
      <c r="O33" s="151">
        <f ca="1">P4-(K21/P8)/(1 + K21/P8)</f>
        <v>3.8242080879773488E-2</v>
      </c>
    </row>
    <row r="34" spans="2:15" x14ac:dyDescent="0.2">
      <c r="C34" s="28">
        <f ca="1">P24</f>
        <v>7.6588465042284293</v>
      </c>
      <c r="D34" s="29">
        <v>2.5000000000000001E-2</v>
      </c>
      <c r="E34" s="29">
        <v>2.75E-2</v>
      </c>
      <c r="F34" s="29">
        <v>0.03</v>
      </c>
      <c r="G34" s="29">
        <v>3.2500000000000001E-2</v>
      </c>
      <c r="H34" s="29">
        <v>3.5000000000000003E-2</v>
      </c>
      <c r="N34" s="299" t="s">
        <v>394</v>
      </c>
    </row>
    <row r="35" spans="2:15" x14ac:dyDescent="0.2">
      <c r="B35" s="319" t="s">
        <v>395</v>
      </c>
      <c r="C35" s="29">
        <f>C36-0.0005</f>
        <v>0.13477306599999997</v>
      </c>
      <c r="D35" s="30"/>
      <c r="E35" s="31"/>
      <c r="F35" s="31"/>
      <c r="G35" s="31"/>
      <c r="H35" s="32"/>
    </row>
    <row r="36" spans="2:15" x14ac:dyDescent="0.2">
      <c r="B36" s="320"/>
      <c r="C36" s="29">
        <f>C37-0.0005</f>
        <v>0.13527306599999997</v>
      </c>
      <c r="D36" s="33"/>
      <c r="E36" s="34"/>
      <c r="F36" s="34"/>
      <c r="G36" s="34"/>
      <c r="H36" s="35"/>
    </row>
    <row r="37" spans="2:15" x14ac:dyDescent="0.2">
      <c r="B37" s="320"/>
      <c r="C37" s="29">
        <f>P4</f>
        <v>0.13577306599999997</v>
      </c>
      <c r="D37" s="33"/>
      <c r="E37" s="34"/>
      <c r="F37" s="36"/>
      <c r="G37" s="34"/>
      <c r="H37" s="35"/>
    </row>
    <row r="38" spans="2:15" x14ac:dyDescent="0.2">
      <c r="B38" s="320"/>
      <c r="C38" s="29">
        <f>C37+0.0005</f>
        <v>0.13627306599999997</v>
      </c>
      <c r="D38" s="33"/>
      <c r="E38" s="34"/>
      <c r="F38" s="34"/>
      <c r="G38" s="34"/>
      <c r="H38" s="35"/>
    </row>
    <row r="39" spans="2:15" x14ac:dyDescent="0.2">
      <c r="B39" s="321"/>
      <c r="C39" s="29">
        <f>C38+0.0005</f>
        <v>0.13677306599999997</v>
      </c>
      <c r="D39" s="37"/>
      <c r="E39" s="38"/>
      <c r="F39" s="38"/>
      <c r="G39" s="38"/>
      <c r="H39" s="39"/>
    </row>
  </sheetData>
  <mergeCells count="6">
    <mergeCell ref="B35:B39"/>
    <mergeCell ref="B2:F2"/>
    <mergeCell ref="G2:K2"/>
    <mergeCell ref="M3:P3"/>
    <mergeCell ref="B32:H32"/>
    <mergeCell ref="D33:H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E1FF-A320-4133-870C-2048AC280C32}">
  <sheetPr>
    <tabColor rgb="FF92D050"/>
  </sheetPr>
  <dimension ref="A1:N56"/>
  <sheetViews>
    <sheetView zoomScale="85" zoomScaleNormal="85" workbookViewId="0">
      <selection activeCell="D40" sqref="D40"/>
    </sheetView>
  </sheetViews>
  <sheetFormatPr baseColWidth="10" defaultColWidth="8.6640625" defaultRowHeight="15" x14ac:dyDescent="0.2"/>
  <cols>
    <col min="1" max="1" width="41.33203125" bestFit="1" customWidth="1"/>
    <col min="2" max="2" width="10.1640625" bestFit="1" customWidth="1"/>
    <col min="3" max="5" width="15" customWidth="1"/>
    <col min="9" max="9" width="35" customWidth="1"/>
    <col min="10" max="13" width="15" customWidth="1"/>
  </cols>
  <sheetData>
    <row r="1" spans="1:14" ht="18" x14ac:dyDescent="0.2">
      <c r="A1" s="330" t="s">
        <v>396</v>
      </c>
      <c r="B1" s="330"/>
      <c r="C1" s="330"/>
      <c r="D1" s="330"/>
      <c r="E1" s="330"/>
      <c r="I1" s="330" t="s">
        <v>397</v>
      </c>
      <c r="J1" s="330"/>
      <c r="K1" s="330"/>
      <c r="L1" s="330"/>
      <c r="M1" s="330"/>
    </row>
    <row r="2" spans="1:14" x14ac:dyDescent="0.2">
      <c r="A2" s="266" t="s">
        <v>398</v>
      </c>
      <c r="I2" s="266" t="s">
        <v>399</v>
      </c>
    </row>
    <row r="3" spans="1:14" x14ac:dyDescent="0.2">
      <c r="A3" s="267" t="s">
        <v>400</v>
      </c>
      <c r="I3" s="267" t="s">
        <v>400</v>
      </c>
      <c r="J3" s="267"/>
      <c r="K3" s="267"/>
      <c r="L3" s="267"/>
      <c r="M3" s="267"/>
      <c r="N3" s="267"/>
    </row>
    <row r="5" spans="1:14" x14ac:dyDescent="0.2">
      <c r="A5" s="331" t="s">
        <v>401</v>
      </c>
      <c r="B5" s="331"/>
      <c r="C5" s="331"/>
      <c r="D5" s="331"/>
      <c r="E5" s="331"/>
      <c r="I5" s="331" t="s">
        <v>401</v>
      </c>
      <c r="J5" s="331"/>
      <c r="K5" s="331"/>
      <c r="L5" s="331"/>
      <c r="M5" s="331"/>
    </row>
    <row r="6" spans="1:14" x14ac:dyDescent="0.2">
      <c r="A6" s="269" t="s">
        <v>261</v>
      </c>
      <c r="B6" s="284" t="s">
        <v>402</v>
      </c>
      <c r="C6" s="284" t="s">
        <v>403</v>
      </c>
      <c r="D6" s="284" t="s">
        <v>404</v>
      </c>
      <c r="E6" s="284" t="s">
        <v>405</v>
      </c>
      <c r="F6" s="270" t="s">
        <v>406</v>
      </c>
      <c r="I6" s="269" t="s">
        <v>261</v>
      </c>
      <c r="J6" s="269" t="s">
        <v>402</v>
      </c>
      <c r="K6" s="269" t="s">
        <v>403</v>
      </c>
      <c r="L6" s="269" t="s">
        <v>404</v>
      </c>
      <c r="M6" s="269" t="s">
        <v>405</v>
      </c>
      <c r="N6" s="270" t="s">
        <v>406</v>
      </c>
    </row>
    <row r="7" spans="1:14" x14ac:dyDescent="0.2">
      <c r="A7" s="133" t="s">
        <v>407</v>
      </c>
      <c r="B7" s="271">
        <v>166.74</v>
      </c>
      <c r="C7" s="271">
        <v>36.659999999999997</v>
      </c>
      <c r="D7" s="271">
        <v>71.739999999999995</v>
      </c>
      <c r="E7" s="271">
        <v>65.69</v>
      </c>
      <c r="F7" s="271">
        <v>11.44</v>
      </c>
      <c r="I7" s="133" t="s">
        <v>407</v>
      </c>
      <c r="J7" s="285">
        <v>166.74</v>
      </c>
      <c r="K7" s="285">
        <v>36.659999999999997</v>
      </c>
      <c r="L7" s="285">
        <v>71.739999999999995</v>
      </c>
      <c r="M7" s="285">
        <v>65.69</v>
      </c>
      <c r="N7" s="272">
        <v>11.44</v>
      </c>
    </row>
    <row r="8" spans="1:14" x14ac:dyDescent="0.2">
      <c r="A8" s="133" t="s">
        <v>408</v>
      </c>
      <c r="B8" s="273">
        <v>1294.8</v>
      </c>
      <c r="C8" s="273">
        <v>591</v>
      </c>
      <c r="D8" s="273">
        <v>619.70000000000005</v>
      </c>
      <c r="E8" s="273">
        <v>89.1</v>
      </c>
      <c r="F8" s="273">
        <v>154.80000000000001</v>
      </c>
      <c r="H8" s="46"/>
      <c r="I8" s="133" t="s">
        <v>408</v>
      </c>
      <c r="J8" s="273">
        <v>1294.8</v>
      </c>
      <c r="K8" s="273">
        <v>572</v>
      </c>
      <c r="L8" s="273">
        <v>616</v>
      </c>
      <c r="M8" s="273">
        <v>89</v>
      </c>
      <c r="N8" s="273">
        <v>154.80000000000001</v>
      </c>
    </row>
    <row r="9" spans="1:14" x14ac:dyDescent="0.2">
      <c r="A9" s="133" t="s">
        <v>409</v>
      </c>
      <c r="B9" s="274">
        <f>B7*B8</f>
        <v>215894.95199999999</v>
      </c>
      <c r="C9" s="274">
        <f>C7*C8</f>
        <v>21666.059999999998</v>
      </c>
      <c r="D9" s="274">
        <f>D7*D8</f>
        <v>44457.277999999998</v>
      </c>
      <c r="E9" s="274">
        <f>E7*E8</f>
        <v>5852.9789999999994</v>
      </c>
      <c r="F9" s="274">
        <f>F7*F8</f>
        <v>1770.912</v>
      </c>
      <c r="H9" s="46"/>
      <c r="I9" s="133" t="s">
        <v>409</v>
      </c>
      <c r="J9" s="274">
        <f>J7*J8</f>
        <v>215894.95199999999</v>
      </c>
      <c r="K9" s="274">
        <f>K7*K8</f>
        <v>20969.519999999997</v>
      </c>
      <c r="L9" s="274">
        <f>L7*L8</f>
        <v>44191.839999999997</v>
      </c>
      <c r="M9" s="274">
        <f>M7*M8</f>
        <v>5846.41</v>
      </c>
      <c r="N9" s="274">
        <f>N7*N8</f>
        <v>1770.912</v>
      </c>
    </row>
    <row r="10" spans="1:14" x14ac:dyDescent="0.2">
      <c r="A10" s="133" t="s">
        <v>410</v>
      </c>
      <c r="B10" s="275">
        <v>5479</v>
      </c>
      <c r="C10" s="275">
        <v>1417</v>
      </c>
      <c r="D10" s="275">
        <v>8950</v>
      </c>
      <c r="E10" s="275">
        <v>1212</v>
      </c>
      <c r="F10" s="275">
        <v>558</v>
      </c>
      <c r="H10" s="46"/>
      <c r="I10" s="133" t="s">
        <v>410</v>
      </c>
      <c r="J10" s="275">
        <v>5479</v>
      </c>
      <c r="K10" s="275">
        <v>1857</v>
      </c>
      <c r="L10" s="275">
        <v>8950</v>
      </c>
      <c r="M10" s="275">
        <v>1212</v>
      </c>
      <c r="N10" s="275">
        <v>558</v>
      </c>
    </row>
    <row r="11" spans="1:14" x14ac:dyDescent="0.2">
      <c r="A11" s="133" t="s">
        <v>411</v>
      </c>
      <c r="B11" s="275">
        <v>918</v>
      </c>
      <c r="C11" s="275">
        <v>0</v>
      </c>
      <c r="D11" s="275">
        <v>6150</v>
      </c>
      <c r="E11" s="275">
        <v>2872.5</v>
      </c>
      <c r="F11" s="275">
        <v>0</v>
      </c>
      <c r="I11" s="133" t="s">
        <v>411</v>
      </c>
      <c r="J11" s="275">
        <v>918</v>
      </c>
      <c r="K11" s="275">
        <v>0</v>
      </c>
      <c r="L11" s="275">
        <v>6150</v>
      </c>
      <c r="M11" s="275">
        <v>2237</v>
      </c>
      <c r="N11" s="276">
        <v>0</v>
      </c>
    </row>
    <row r="12" spans="1:14" x14ac:dyDescent="0.2">
      <c r="A12" s="133" t="s">
        <v>412</v>
      </c>
      <c r="B12" s="274">
        <f>B9-B10+B11</f>
        <v>211333.95199999999</v>
      </c>
      <c r="C12" s="274">
        <f>C9-C10+C11</f>
        <v>20249.059999999998</v>
      </c>
      <c r="D12" s="274">
        <f>D9-D10+D11</f>
        <v>41657.277999999998</v>
      </c>
      <c r="E12" s="274">
        <f>E9-E10+E11</f>
        <v>7513.4789999999994</v>
      </c>
      <c r="F12" s="274">
        <f>F9-F10+F11</f>
        <v>1212.912</v>
      </c>
      <c r="I12" s="133" t="s">
        <v>412</v>
      </c>
      <c r="J12" s="274">
        <f>J9-J10+J11</f>
        <v>211333.95199999999</v>
      </c>
      <c r="K12" s="274">
        <f>K9-K10+K11</f>
        <v>19112.519999999997</v>
      </c>
      <c r="L12" s="274">
        <f>L9-L10+L11</f>
        <v>41391.839999999997</v>
      </c>
      <c r="M12" s="274">
        <f>M9-M10+M11</f>
        <v>6871.41</v>
      </c>
      <c r="N12" s="274">
        <f>N9-N10+N11</f>
        <v>1212.912</v>
      </c>
    </row>
    <row r="14" spans="1:14" x14ac:dyDescent="0.2">
      <c r="A14" s="331" t="s">
        <v>413</v>
      </c>
      <c r="B14" s="331"/>
      <c r="C14" s="331"/>
      <c r="D14" s="331"/>
      <c r="E14" s="331"/>
      <c r="I14" s="331" t="s">
        <v>414</v>
      </c>
      <c r="J14" s="331"/>
      <c r="K14" s="331"/>
      <c r="L14" s="331"/>
      <c r="M14" s="331"/>
    </row>
    <row r="15" spans="1:14" x14ac:dyDescent="0.2">
      <c r="A15" s="269" t="s">
        <v>261</v>
      </c>
      <c r="B15" s="269" t="s">
        <v>402</v>
      </c>
      <c r="C15" s="269" t="s">
        <v>403</v>
      </c>
      <c r="D15" s="269" t="s">
        <v>404</v>
      </c>
      <c r="E15" s="269" t="s">
        <v>405</v>
      </c>
      <c r="F15" s="270" t="s">
        <v>406</v>
      </c>
      <c r="I15" s="269" t="s">
        <v>261</v>
      </c>
      <c r="J15" s="269" t="s">
        <v>402</v>
      </c>
      <c r="K15" s="269" t="s">
        <v>403</v>
      </c>
      <c r="L15" s="269" t="s">
        <v>404</v>
      </c>
      <c r="M15" s="269" t="s">
        <v>405</v>
      </c>
      <c r="N15" s="270" t="s">
        <v>406</v>
      </c>
    </row>
    <row r="16" spans="1:14" x14ac:dyDescent="0.2">
      <c r="A16" s="133" t="s">
        <v>415</v>
      </c>
      <c r="B16" s="275">
        <v>8880</v>
      </c>
      <c r="C16" s="275">
        <v>4960</v>
      </c>
      <c r="D16" s="275">
        <v>24121</v>
      </c>
      <c r="E16" s="275">
        <v>3330.6</v>
      </c>
      <c r="F16" s="275">
        <v>1077</v>
      </c>
      <c r="I16" s="133" t="s">
        <v>415</v>
      </c>
      <c r="J16" s="275">
        <v>8880</v>
      </c>
      <c r="K16" s="275">
        <v>4960</v>
      </c>
      <c r="L16" s="275">
        <v>24121</v>
      </c>
      <c r="M16" s="275">
        <v>3331</v>
      </c>
      <c r="N16" s="275">
        <v>1077</v>
      </c>
    </row>
    <row r="17" spans="1:14" x14ac:dyDescent="0.2">
      <c r="A17" s="133" t="s">
        <v>416</v>
      </c>
      <c r="B17" s="275">
        <v>7060</v>
      </c>
      <c r="C17" s="275">
        <v>3865</v>
      </c>
      <c r="D17" s="275">
        <v>21916</v>
      </c>
      <c r="E17" s="275">
        <v>2565</v>
      </c>
      <c r="F17" s="275">
        <v>909.27</v>
      </c>
      <c r="I17" s="133" t="s">
        <v>417</v>
      </c>
      <c r="J17" s="275">
        <v>4472</v>
      </c>
      <c r="K17" s="275">
        <v>1190</v>
      </c>
      <c r="L17" s="275">
        <v>8889</v>
      </c>
      <c r="M17" s="275">
        <v>973</v>
      </c>
      <c r="N17" s="275">
        <v>450</v>
      </c>
    </row>
    <row r="18" spans="1:14" x14ac:dyDescent="0.2">
      <c r="A18" s="133" t="s">
        <v>418</v>
      </c>
      <c r="B18" s="277">
        <f>(B16-B17)/B17</f>
        <v>0.25779036827195467</v>
      </c>
      <c r="C18" s="277">
        <f>(C16-C17)/C17</f>
        <v>0.2833117723156533</v>
      </c>
      <c r="D18" s="277">
        <f>(D16-D17)/D17</f>
        <v>0.10061142544259902</v>
      </c>
      <c r="E18" s="277">
        <f>(E16-E17)/E17</f>
        <v>0.29847953216374268</v>
      </c>
      <c r="F18" s="277">
        <f>(F16-F17)/F17</f>
        <v>0.18446666006796664</v>
      </c>
      <c r="I18" s="133" t="s">
        <v>419</v>
      </c>
      <c r="J18" s="277">
        <f>J17/J16</f>
        <v>0.50360360360360357</v>
      </c>
      <c r="K18" s="277">
        <f>K17/K16</f>
        <v>0.23991935483870969</v>
      </c>
      <c r="L18" s="277">
        <f>L17/L16</f>
        <v>0.36851705982339039</v>
      </c>
      <c r="M18" s="277">
        <f>M17/M16</f>
        <v>0.29210447313119181</v>
      </c>
      <c r="N18" s="277">
        <f>N17/N16</f>
        <v>0.4178272980501393</v>
      </c>
    </row>
    <row r="19" spans="1:14" x14ac:dyDescent="0.2">
      <c r="A19" s="133" t="s">
        <v>420</v>
      </c>
      <c r="B19" s="278">
        <f>B12/B16</f>
        <v>23.798868468468466</v>
      </c>
      <c r="C19" s="278">
        <f>C12/C16</f>
        <v>4.0824717741935483</v>
      </c>
      <c r="D19" s="278">
        <f>D12/D16</f>
        <v>1.7270128933294639</v>
      </c>
      <c r="E19" s="278">
        <f>E12/E16</f>
        <v>2.2558935326968115</v>
      </c>
      <c r="F19" s="278">
        <f>F12/F16</f>
        <v>1.1261949860724234</v>
      </c>
      <c r="I19" s="133" t="s">
        <v>421</v>
      </c>
      <c r="J19" s="278">
        <f>J12/J17</f>
        <v>47.257144901610019</v>
      </c>
      <c r="K19" s="278">
        <f>K12/K17</f>
        <v>16.060941176470585</v>
      </c>
      <c r="L19" s="278">
        <f>L12/L17</f>
        <v>4.6565237934525818</v>
      </c>
      <c r="M19" s="278">
        <f>M12/M17</f>
        <v>7.0620863309352515</v>
      </c>
      <c r="N19" s="278">
        <f>N12/N17</f>
        <v>2.69536</v>
      </c>
    </row>
    <row r="20" spans="1:14" ht="16" thickBot="1" x14ac:dyDescent="0.25">
      <c r="B20" s="279"/>
      <c r="C20" s="279"/>
      <c r="D20" s="279"/>
      <c r="E20" s="279"/>
    </row>
    <row r="21" spans="1:14" ht="16" thickBot="1" x14ac:dyDescent="0.25">
      <c r="A21" s="280" t="s">
        <v>422</v>
      </c>
      <c r="B21" s="281">
        <f>1-(F19/C26)</f>
        <v>0.50077653499626296</v>
      </c>
      <c r="C21" s="279"/>
      <c r="D21" s="279"/>
      <c r="E21" s="279"/>
      <c r="I21" s="280" t="s">
        <v>422</v>
      </c>
      <c r="J21" s="281">
        <f>1-(N19/K26)</f>
        <v>0.53998640258700425</v>
      </c>
    </row>
    <row r="22" spans="1:14" ht="16" thickBot="1" x14ac:dyDescent="0.25">
      <c r="A22" s="301" t="s">
        <v>423</v>
      </c>
      <c r="B22" s="281">
        <v>0.2</v>
      </c>
      <c r="C22" s="279"/>
      <c r="D22" s="279"/>
      <c r="E22" s="279"/>
      <c r="I22" s="301" t="s">
        <v>423</v>
      </c>
      <c r="J22" s="281">
        <v>0.2</v>
      </c>
    </row>
    <row r="23" spans="1:14" x14ac:dyDescent="0.2">
      <c r="B23" s="279"/>
      <c r="C23" s="279"/>
      <c r="D23" s="279"/>
      <c r="E23" s="279"/>
    </row>
    <row r="24" spans="1:14" x14ac:dyDescent="0.2">
      <c r="A24" s="268" t="s">
        <v>424</v>
      </c>
      <c r="B24" s="268" t="s">
        <v>425</v>
      </c>
      <c r="C24" s="268" t="s">
        <v>426</v>
      </c>
      <c r="D24" s="268"/>
      <c r="E24" s="268"/>
      <c r="I24" s="268" t="s">
        <v>424</v>
      </c>
      <c r="J24" s="268" t="s">
        <v>425</v>
      </c>
      <c r="K24" s="268" t="s">
        <v>426</v>
      </c>
      <c r="L24" s="268"/>
      <c r="M24" s="268"/>
    </row>
    <row r="25" spans="1:14" x14ac:dyDescent="0.2">
      <c r="A25" s="133" t="s">
        <v>427</v>
      </c>
      <c r="B25" s="278">
        <f>AVERAGE(B19:E19)</f>
        <v>7.9660616671720721</v>
      </c>
      <c r="C25" s="278">
        <f>AVERAGE(C19:E19)</f>
        <v>2.6884594000732744</v>
      </c>
      <c r="I25" s="133" t="s">
        <v>428</v>
      </c>
      <c r="J25" s="278">
        <f>AVERAGE(J19:M19)</f>
        <v>18.759174050617112</v>
      </c>
      <c r="K25" s="278">
        <f>AVERAGE(K19:N19)</f>
        <v>7.6187278252146049</v>
      </c>
    </row>
    <row r="26" spans="1:14" x14ac:dyDescent="0.2">
      <c r="A26" s="133" t="s">
        <v>429</v>
      </c>
      <c r="B26" s="278">
        <f>MEDIAN(B19:E19)</f>
        <v>3.1691826534451799</v>
      </c>
      <c r="C26" s="278">
        <f>MEDIAN(C19:E19)</f>
        <v>2.2558935326968115</v>
      </c>
      <c r="I26" s="133" t="s">
        <v>430</v>
      </c>
      <c r="J26" s="278">
        <f>MEDIAN(J19:M19)</f>
        <v>11.561513753702918</v>
      </c>
      <c r="K26" s="278">
        <f>MEDIAN(K19:N19)</f>
        <v>5.8593050621939167</v>
      </c>
    </row>
    <row r="27" spans="1:14" x14ac:dyDescent="0.2">
      <c r="A27" s="133" t="s">
        <v>431</v>
      </c>
      <c r="B27" s="278">
        <f>MIN(B19:E19)</f>
        <v>1.7270128933294639</v>
      </c>
      <c r="C27" s="278">
        <f>MIN(C19:E19)</f>
        <v>1.7270128933294639</v>
      </c>
      <c r="I27" s="133" t="s">
        <v>432</v>
      </c>
      <c r="J27" s="278">
        <f>MIN(J19:M19)</f>
        <v>4.6565237934525818</v>
      </c>
      <c r="K27" s="278">
        <f>MIN(K19:N19)</f>
        <v>2.69536</v>
      </c>
    </row>
    <row r="28" spans="1:14" x14ac:dyDescent="0.2">
      <c r="A28" s="133" t="s">
        <v>433</v>
      </c>
      <c r="B28" s="278">
        <f>MAX(B19:E19)</f>
        <v>23.798868468468466</v>
      </c>
      <c r="C28" s="278">
        <f>MAX(C19:E19)</f>
        <v>4.0824717741935483</v>
      </c>
      <c r="I28" s="133" t="s">
        <v>434</v>
      </c>
      <c r="J28" s="278">
        <f>MAX(J19:M19)</f>
        <v>47.257144901610019</v>
      </c>
      <c r="K28" s="278">
        <f>MAX(K19:N19)</f>
        <v>16.060941176470585</v>
      </c>
    </row>
    <row r="30" spans="1:14" x14ac:dyDescent="0.2">
      <c r="A30" s="268" t="s">
        <v>435</v>
      </c>
      <c r="B30" s="268"/>
      <c r="C30" s="268"/>
      <c r="D30" s="268"/>
      <c r="E30" s="268"/>
      <c r="I30" s="332" t="s">
        <v>435</v>
      </c>
      <c r="J30" s="332"/>
      <c r="K30" s="332"/>
      <c r="L30" s="332"/>
      <c r="M30" s="332"/>
    </row>
    <row r="31" spans="1:14" x14ac:dyDescent="0.2">
      <c r="A31" s="133" t="s">
        <v>436</v>
      </c>
      <c r="B31" s="275">
        <v>1077</v>
      </c>
      <c r="C31" s="275">
        <v>1077</v>
      </c>
      <c r="I31" s="133" t="s">
        <v>437</v>
      </c>
      <c r="J31" s="275">
        <v>450</v>
      </c>
      <c r="K31" s="275">
        <v>450</v>
      </c>
    </row>
    <row r="32" spans="1:14" x14ac:dyDescent="0.2">
      <c r="A32" s="133" t="s">
        <v>438</v>
      </c>
      <c r="B32" s="275">
        <v>558</v>
      </c>
      <c r="C32" s="275">
        <v>558</v>
      </c>
      <c r="I32" s="133" t="s">
        <v>438</v>
      </c>
      <c r="J32" s="275">
        <v>558</v>
      </c>
      <c r="K32" s="275">
        <v>558</v>
      </c>
    </row>
    <row r="33" spans="1:13" x14ac:dyDescent="0.2">
      <c r="A33" s="133" t="s">
        <v>439</v>
      </c>
      <c r="B33" s="275">
        <v>0</v>
      </c>
      <c r="C33" s="275">
        <v>0</v>
      </c>
      <c r="I33" s="133" t="s">
        <v>439</v>
      </c>
      <c r="J33" s="275">
        <v>154</v>
      </c>
      <c r="K33" s="275">
        <v>154</v>
      </c>
    </row>
    <row r="34" spans="1:13" x14ac:dyDescent="0.2">
      <c r="A34" s="133" t="s">
        <v>440</v>
      </c>
      <c r="B34" s="273">
        <v>154.80000000000001</v>
      </c>
      <c r="C34" s="273">
        <v>154.80000000000001</v>
      </c>
      <c r="I34" s="133" t="s">
        <v>440</v>
      </c>
      <c r="J34" s="273">
        <v>154.80000000000001</v>
      </c>
      <c r="K34" s="273">
        <v>154.80000000000001</v>
      </c>
    </row>
    <row r="36" spans="1:13" x14ac:dyDescent="0.2">
      <c r="A36" s="268" t="s">
        <v>441</v>
      </c>
      <c r="B36" s="268" t="s">
        <v>425</v>
      </c>
      <c r="C36" s="268" t="s">
        <v>426</v>
      </c>
      <c r="I36" s="268" t="s">
        <v>441</v>
      </c>
      <c r="J36" s="268" t="s">
        <v>425</v>
      </c>
      <c r="K36" s="268" t="s">
        <v>426</v>
      </c>
    </row>
    <row r="37" spans="1:13" x14ac:dyDescent="0.2">
      <c r="A37" s="303" t="s">
        <v>442</v>
      </c>
      <c r="B37" s="293">
        <f>B31*B26</f>
        <v>3413.2097177604587</v>
      </c>
      <c r="C37" s="293">
        <f>C31*C26</f>
        <v>2429.5973347144659</v>
      </c>
      <c r="I37" s="303" t="s">
        <v>442</v>
      </c>
      <c r="J37" s="293">
        <f>J31*J26</f>
        <v>5202.6811891663137</v>
      </c>
      <c r="K37" s="293">
        <f>K31*K26</f>
        <v>2636.6872779872624</v>
      </c>
    </row>
    <row r="38" spans="1:13" x14ac:dyDescent="0.2">
      <c r="A38" s="303" t="s">
        <v>443</v>
      </c>
      <c r="B38" s="293">
        <f>B37+B32-B33</f>
        <v>3971.2097177604587</v>
      </c>
      <c r="C38" s="293">
        <f>C37+C32-C33</f>
        <v>2987.5973347144659</v>
      </c>
      <c r="I38" s="303" t="s">
        <v>443</v>
      </c>
      <c r="J38" s="293">
        <f>J37+J32-J33</f>
        <v>5606.6811891663137</v>
      </c>
      <c r="K38" s="293">
        <f>K37+K32-K33</f>
        <v>3040.6872779872624</v>
      </c>
    </row>
    <row r="39" spans="1:13" x14ac:dyDescent="0.2">
      <c r="A39" s="303" t="s">
        <v>444</v>
      </c>
      <c r="B39" s="294">
        <f>B38/B34</f>
        <v>25.653809546256191</v>
      </c>
      <c r="C39" s="294">
        <f>C38/C34</f>
        <v>19.299724384460372</v>
      </c>
      <c r="I39" s="303" t="s">
        <v>444</v>
      </c>
      <c r="J39" s="294">
        <f>J38/J34</f>
        <v>36.218870731048533</v>
      </c>
      <c r="K39" s="294">
        <f>K38/K34</f>
        <v>19.642682674336321</v>
      </c>
    </row>
    <row r="40" spans="1:13" x14ac:dyDescent="0.2">
      <c r="A40" s="303" t="s">
        <v>445</v>
      </c>
      <c r="B40" s="295">
        <f>B39*(1-$B$22)</f>
        <v>20.523047637004954</v>
      </c>
      <c r="C40" s="295">
        <f>C39*(1-$B$22)</f>
        <v>15.439779507568298</v>
      </c>
      <c r="I40" s="303" t="s">
        <v>445</v>
      </c>
      <c r="J40" s="295">
        <f>J39*(1-$J$22)</f>
        <v>28.975096584838827</v>
      </c>
      <c r="K40" s="295">
        <f>K39*(1-$J$22)</f>
        <v>15.714146139469058</v>
      </c>
    </row>
    <row r="42" spans="1:13" x14ac:dyDescent="0.2">
      <c r="A42" s="268" t="s">
        <v>446</v>
      </c>
      <c r="B42" s="268" t="s">
        <v>425</v>
      </c>
      <c r="C42" s="268" t="s">
        <v>426</v>
      </c>
      <c r="D42" s="268"/>
      <c r="E42" s="268"/>
      <c r="I42" s="268" t="s">
        <v>446</v>
      </c>
      <c r="J42" s="268" t="s">
        <v>425</v>
      </c>
      <c r="K42" s="268" t="s">
        <v>426</v>
      </c>
      <c r="L42" s="268"/>
      <c r="M42" s="268"/>
    </row>
    <row r="43" spans="1:13" x14ac:dyDescent="0.2">
      <c r="A43" s="133" t="s">
        <v>447</v>
      </c>
      <c r="B43" s="274">
        <f>B25*B31</f>
        <v>8579.4484155443224</v>
      </c>
      <c r="C43" s="274">
        <f>C25*C31</f>
        <v>2895.4707738789166</v>
      </c>
      <c r="I43" s="133" t="s">
        <v>447</v>
      </c>
      <c r="J43" s="274">
        <f>J25*J31</f>
        <v>8441.6283227777003</v>
      </c>
      <c r="K43" s="274">
        <f>K25*K31</f>
        <v>3428.4275213465721</v>
      </c>
    </row>
    <row r="44" spans="1:13" x14ac:dyDescent="0.2">
      <c r="A44" s="133" t="s">
        <v>448</v>
      </c>
      <c r="B44" s="274">
        <f>B26*B31</f>
        <v>3413.2097177604587</v>
      </c>
      <c r="C44" s="274">
        <f>C26*C31</f>
        <v>2429.5973347144659</v>
      </c>
      <c r="I44" s="133" t="s">
        <v>448</v>
      </c>
      <c r="J44" s="274">
        <f>J26*J31</f>
        <v>5202.6811891663137</v>
      </c>
      <c r="K44" s="274">
        <f>K26*K31</f>
        <v>2636.6872779872624</v>
      </c>
    </row>
    <row r="45" spans="1:13" x14ac:dyDescent="0.2">
      <c r="A45" s="133" t="s">
        <v>449</v>
      </c>
      <c r="B45" s="274">
        <f>B43+B32-B33</f>
        <v>9137.4484155443224</v>
      </c>
      <c r="C45" s="274">
        <f>C43+C32-C33</f>
        <v>3453.4707738789166</v>
      </c>
      <c r="I45" s="133" t="s">
        <v>449</v>
      </c>
      <c r="J45" s="274">
        <f>J43+J32-J33</f>
        <v>8845.6283227777003</v>
      </c>
      <c r="K45" s="274">
        <f>K43+K32-K33</f>
        <v>3832.4275213465721</v>
      </c>
    </row>
    <row r="46" spans="1:13" x14ac:dyDescent="0.2">
      <c r="A46" s="133" t="s">
        <v>450</v>
      </c>
      <c r="B46" s="274">
        <f>B44+B32-B33</f>
        <v>3971.2097177604587</v>
      </c>
      <c r="C46" s="274">
        <f>C44+C32-C33</f>
        <v>2987.5973347144659</v>
      </c>
      <c r="I46" s="133" t="s">
        <v>450</v>
      </c>
      <c r="J46" s="274">
        <f>J44+J32-J33</f>
        <v>5606.6811891663137</v>
      </c>
      <c r="K46" s="274">
        <f>K44+K32-K33</f>
        <v>3040.6872779872624</v>
      </c>
    </row>
    <row r="47" spans="1:13" x14ac:dyDescent="0.2">
      <c r="A47" s="133" t="s">
        <v>451</v>
      </c>
      <c r="B47" s="282">
        <f>B45/B34</f>
        <v>59.027444544859961</v>
      </c>
      <c r="C47" s="282">
        <f>C45/C34</f>
        <v>22.309242725315997</v>
      </c>
      <c r="I47" s="133" t="s">
        <v>451</v>
      </c>
      <c r="J47" s="282">
        <f>J45/J34</f>
        <v>57.142301826729323</v>
      </c>
      <c r="K47" s="282">
        <f>K45/K34</f>
        <v>24.757283729629016</v>
      </c>
    </row>
    <row r="48" spans="1:13" x14ac:dyDescent="0.2">
      <c r="A48" s="133" t="s">
        <v>452</v>
      </c>
      <c r="B48" s="282">
        <f>B46/B34</f>
        <v>25.653809546256191</v>
      </c>
      <c r="C48" s="282">
        <f>C46/C34</f>
        <v>19.299724384460372</v>
      </c>
      <c r="I48" s="133" t="s">
        <v>452</v>
      </c>
      <c r="J48" s="282">
        <f>J46/J34</f>
        <v>36.218870731048533</v>
      </c>
      <c r="K48" s="282">
        <f>K46/K34</f>
        <v>19.642682674336321</v>
      </c>
    </row>
    <row r="50" spans="1:13" x14ac:dyDescent="0.2">
      <c r="A50" s="331" t="s">
        <v>453</v>
      </c>
      <c r="B50" s="331"/>
      <c r="C50" s="331"/>
      <c r="D50" s="331"/>
      <c r="E50" s="331"/>
      <c r="I50" s="331" t="s">
        <v>453</v>
      </c>
      <c r="J50" s="331"/>
      <c r="K50" s="331"/>
      <c r="L50" s="331"/>
      <c r="M50" s="331"/>
    </row>
    <row r="51" spans="1:13" x14ac:dyDescent="0.2">
      <c r="A51" s="283" t="s">
        <v>454</v>
      </c>
      <c r="I51" s="283" t="s">
        <v>454</v>
      </c>
    </row>
    <row r="52" spans="1:13" x14ac:dyDescent="0.2">
      <c r="A52" s="283" t="s">
        <v>455</v>
      </c>
      <c r="I52" s="283" t="s">
        <v>455</v>
      </c>
    </row>
    <row r="53" spans="1:13" x14ac:dyDescent="0.2">
      <c r="A53" s="283" t="s">
        <v>456</v>
      </c>
      <c r="I53" s="283" t="s">
        <v>456</v>
      </c>
    </row>
    <row r="54" spans="1:13" x14ac:dyDescent="0.2">
      <c r="A54" s="283" t="s">
        <v>457</v>
      </c>
      <c r="I54" s="283" t="s">
        <v>457</v>
      </c>
    </row>
    <row r="55" spans="1:13" x14ac:dyDescent="0.2">
      <c r="A55" s="283" t="s">
        <v>458</v>
      </c>
      <c r="I55" s="283" t="s">
        <v>458</v>
      </c>
    </row>
    <row r="56" spans="1:13" x14ac:dyDescent="0.2">
      <c r="A56" s="283" t="s">
        <v>459</v>
      </c>
      <c r="I56" s="283" t="s">
        <v>459</v>
      </c>
    </row>
  </sheetData>
  <mergeCells count="9">
    <mergeCell ref="A1:E1"/>
    <mergeCell ref="A5:E5"/>
    <mergeCell ref="A14:E14"/>
    <mergeCell ref="A50:E50"/>
    <mergeCell ref="I1:M1"/>
    <mergeCell ref="I5:M5"/>
    <mergeCell ref="I14:M14"/>
    <mergeCell ref="I30:M30"/>
    <mergeCell ref="I50:M5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FD47-1398-4FA0-AAA1-388BCEBCE645}">
  <sheetPr>
    <tabColor rgb="FF00B050"/>
  </sheetPr>
  <dimension ref="B1:F25"/>
  <sheetViews>
    <sheetView workbookViewId="0">
      <selection activeCell="C35" sqref="C35"/>
    </sheetView>
  </sheetViews>
  <sheetFormatPr baseColWidth="10" defaultColWidth="8.83203125" defaultRowHeight="15" x14ac:dyDescent="0.2"/>
  <cols>
    <col min="2" max="2" width="21.5" bestFit="1" customWidth="1"/>
    <col min="4" max="4" width="12.5" bestFit="1" customWidth="1"/>
    <col min="5" max="5" width="12.5" customWidth="1"/>
    <col min="6" max="6" width="18.5" bestFit="1" customWidth="1"/>
  </cols>
  <sheetData>
    <row r="1" spans="2:6" ht="16" thickBot="1" x14ac:dyDescent="0.25"/>
    <row r="2" spans="2:6" x14ac:dyDescent="0.2">
      <c r="B2" s="304" t="s">
        <v>460</v>
      </c>
      <c r="C2" s="305" t="s">
        <v>294</v>
      </c>
      <c r="D2" s="305" t="s">
        <v>94</v>
      </c>
      <c r="E2" s="305" t="s">
        <v>461</v>
      </c>
      <c r="F2" s="306" t="s">
        <v>462</v>
      </c>
    </row>
    <row r="3" spans="2:6" x14ac:dyDescent="0.2">
      <c r="B3" s="307" t="s">
        <v>463</v>
      </c>
      <c r="C3" s="286">
        <v>0.7</v>
      </c>
      <c r="D3" s="297">
        <v>12.26</v>
      </c>
      <c r="E3" s="258">
        <f ca="1">'DCF '!P24</f>
        <v>7.6588465042284293</v>
      </c>
      <c r="F3" s="287">
        <f ca="1">E3/D3-1</f>
        <v>-0.37529800128642499</v>
      </c>
    </row>
    <row r="4" spans="2:6" x14ac:dyDescent="0.2">
      <c r="B4" s="288"/>
      <c r="F4" s="289"/>
    </row>
    <row r="5" spans="2:6" x14ac:dyDescent="0.2">
      <c r="B5" s="307" t="s">
        <v>464</v>
      </c>
      <c r="C5" s="299"/>
      <c r="D5" s="299"/>
      <c r="E5" s="299"/>
      <c r="F5" s="308"/>
    </row>
    <row r="6" spans="2:6" x14ac:dyDescent="0.2">
      <c r="B6" s="307" t="s">
        <v>465</v>
      </c>
      <c r="C6" s="286">
        <v>0.15</v>
      </c>
      <c r="D6" s="297">
        <v>12.26</v>
      </c>
      <c r="E6" s="258">
        <f>'Relative Valuation'!C39</f>
        <v>19.299724384460372</v>
      </c>
      <c r="F6" s="287">
        <f>E6/D6-1</f>
        <v>0.57420264147311362</v>
      </c>
    </row>
    <row r="7" spans="2:6" x14ac:dyDescent="0.2">
      <c r="B7" s="307" t="s">
        <v>466</v>
      </c>
      <c r="C7" s="286">
        <v>0.15</v>
      </c>
      <c r="D7" s="297">
        <v>12.26</v>
      </c>
      <c r="E7" s="258">
        <f>'Relative Valuation'!K39</f>
        <v>19.642682674336321</v>
      </c>
      <c r="F7" s="287">
        <f>E7/D7-1</f>
        <v>0.60217640084309298</v>
      </c>
    </row>
    <row r="8" spans="2:6" x14ac:dyDescent="0.2">
      <c r="B8" s="288"/>
      <c r="F8" s="289"/>
    </row>
    <row r="9" spans="2:6" x14ac:dyDescent="0.2">
      <c r="B9" s="288"/>
      <c r="D9" s="299"/>
      <c r="E9" s="299"/>
      <c r="F9" s="308"/>
    </row>
    <row r="10" spans="2:6" ht="16" thickBot="1" x14ac:dyDescent="0.25">
      <c r="B10" s="309" t="s">
        <v>467</v>
      </c>
      <c r="C10" s="290"/>
      <c r="D10" s="291">
        <v>12.26</v>
      </c>
      <c r="E10" s="292">
        <f ca="1">E3*C3+E6*C6+E7*C7</f>
        <v>11.202553611779404</v>
      </c>
      <c r="F10" s="298">
        <f ca="1">E10/D10-1</f>
        <v>-8.6251744553066501E-2</v>
      </c>
    </row>
    <row r="16" spans="2:6" ht="16" thickBot="1" x14ac:dyDescent="0.25"/>
    <row r="17" spans="2:6" x14ac:dyDescent="0.2">
      <c r="B17" s="304" t="s">
        <v>460</v>
      </c>
      <c r="C17" s="305" t="s">
        <v>294</v>
      </c>
      <c r="D17" s="305" t="s">
        <v>94</v>
      </c>
      <c r="E17" s="305" t="s">
        <v>461</v>
      </c>
      <c r="F17" s="306" t="s">
        <v>462</v>
      </c>
    </row>
    <row r="18" spans="2:6" x14ac:dyDescent="0.2">
      <c r="B18" s="307" t="s">
        <v>463</v>
      </c>
      <c r="C18" s="286">
        <v>0.7</v>
      </c>
      <c r="D18" s="297">
        <v>12.26</v>
      </c>
      <c r="E18" s="258">
        <f ca="1">'DCF '!P24</f>
        <v>7.6588465042284293</v>
      </c>
      <c r="F18" s="287">
        <f ca="1">E18/D18-1</f>
        <v>-0.37529800128642499</v>
      </c>
    </row>
    <row r="19" spans="2:6" x14ac:dyDescent="0.2">
      <c r="B19" s="288"/>
      <c r="F19" s="289"/>
    </row>
    <row r="20" spans="2:6" x14ac:dyDescent="0.2">
      <c r="B20" s="307" t="s">
        <v>464</v>
      </c>
      <c r="C20" s="299"/>
      <c r="D20" s="299"/>
      <c r="E20" s="299"/>
      <c r="F20" s="308"/>
    </row>
    <row r="21" spans="2:6" x14ac:dyDescent="0.2">
      <c r="B21" s="307" t="s">
        <v>465</v>
      </c>
      <c r="C21" s="286">
        <v>0.15</v>
      </c>
      <c r="D21" s="297">
        <v>12.26</v>
      </c>
      <c r="E21" s="258">
        <f>'Relative Valuation'!C40</f>
        <v>15.439779507568298</v>
      </c>
      <c r="F21" s="287">
        <f>E21/D21-1</f>
        <v>0.25936211317849089</v>
      </c>
    </row>
    <row r="22" spans="2:6" x14ac:dyDescent="0.2">
      <c r="B22" s="307" t="s">
        <v>466</v>
      </c>
      <c r="C22" s="286">
        <v>0.15</v>
      </c>
      <c r="D22" s="297">
        <v>12.26</v>
      </c>
      <c r="E22" s="258">
        <f>'Relative Valuation'!K40</f>
        <v>15.714146139469058</v>
      </c>
      <c r="F22" s="287">
        <f>E22/D22-1</f>
        <v>0.28174112067447465</v>
      </c>
    </row>
    <row r="23" spans="2:6" x14ac:dyDescent="0.2">
      <c r="B23" s="288"/>
      <c r="F23" s="289"/>
    </row>
    <row r="24" spans="2:6" x14ac:dyDescent="0.2">
      <c r="B24" s="288"/>
      <c r="D24" s="299"/>
      <c r="E24" s="299"/>
      <c r="F24" s="308"/>
    </row>
    <row r="25" spans="2:6" ht="16" thickBot="1" x14ac:dyDescent="0.25">
      <c r="B25" s="309" t="s">
        <v>467</v>
      </c>
      <c r="C25" s="290"/>
      <c r="D25" s="291">
        <v>12.26</v>
      </c>
      <c r="E25" s="292">
        <f ca="1">E18*C18+E21*C21+E22*C22</f>
        <v>10.034281400015503</v>
      </c>
      <c r="F25" s="298">
        <f ca="1">E25/D25-1</f>
        <v>-0.18154311582255278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80FF-892B-4283-9EB6-39174DAEE0CA}">
  <dimension ref="A1:F34"/>
  <sheetViews>
    <sheetView workbookViewId="0">
      <selection activeCell="F2" sqref="F2"/>
    </sheetView>
  </sheetViews>
  <sheetFormatPr baseColWidth="10" defaultColWidth="8.83203125" defaultRowHeight="15" x14ac:dyDescent="0.2"/>
  <cols>
    <col min="1" max="1" width="22.33203125" bestFit="1" customWidth="1"/>
    <col min="6" max="6" width="9.83203125" bestFit="1" customWidth="1"/>
  </cols>
  <sheetData>
    <row r="1" spans="1:6" x14ac:dyDescent="0.2">
      <c r="B1" s="10" t="s">
        <v>468</v>
      </c>
      <c r="C1" s="10" t="s">
        <v>469</v>
      </c>
      <c r="D1" s="10" t="s">
        <v>470</v>
      </c>
      <c r="E1" s="10" t="s">
        <v>471</v>
      </c>
      <c r="F1" s="10" t="s">
        <v>472</v>
      </c>
    </row>
    <row r="2" spans="1:6" x14ac:dyDescent="0.2">
      <c r="A2" s="70" t="s">
        <v>216</v>
      </c>
      <c r="B2" s="154">
        <v>221728</v>
      </c>
      <c r="C2" s="154">
        <v>548372</v>
      </c>
      <c r="D2" s="154">
        <v>730506</v>
      </c>
      <c r="E2" s="154">
        <v>909270</v>
      </c>
      <c r="F2" s="154">
        <v>1076826</v>
      </c>
    </row>
    <row r="3" spans="1:6" x14ac:dyDescent="0.2">
      <c r="A3" s="164" t="s">
        <v>22</v>
      </c>
      <c r="B3" s="15">
        <v>0.57579105931591856</v>
      </c>
      <c r="C3" s="15">
        <v>0.49450555462350376</v>
      </c>
      <c r="D3" s="15">
        <v>0.45442611012092987</v>
      </c>
      <c r="E3" s="15">
        <v>0.42369153276804472</v>
      </c>
      <c r="F3" s="15">
        <v>0.41808518739332073</v>
      </c>
    </row>
    <row r="4" spans="1:6" x14ac:dyDescent="0.2">
      <c r="A4" s="178"/>
      <c r="B4" s="145"/>
      <c r="C4" s="145"/>
      <c r="D4" s="145"/>
      <c r="E4" s="145"/>
      <c r="F4" s="145"/>
    </row>
    <row r="6" spans="1:6" x14ac:dyDescent="0.2">
      <c r="A6" t="s">
        <v>473</v>
      </c>
    </row>
    <row r="7" spans="1:6" x14ac:dyDescent="0.2">
      <c r="A7" t="s">
        <v>474</v>
      </c>
    </row>
    <row r="8" spans="1:6" x14ac:dyDescent="0.2">
      <c r="A8" t="s">
        <v>475</v>
      </c>
    </row>
    <row r="9" spans="1:6" x14ac:dyDescent="0.2">
      <c r="A9" t="s">
        <v>476</v>
      </c>
    </row>
    <row r="13" spans="1:6" x14ac:dyDescent="0.2">
      <c r="A13" s="10"/>
      <c r="B13" s="10" t="s">
        <v>7</v>
      </c>
      <c r="C13" s="10" t="s">
        <v>8</v>
      </c>
      <c r="D13" s="10" t="s">
        <v>9</v>
      </c>
      <c r="E13" s="10" t="s">
        <v>10</v>
      </c>
      <c r="F13" s="10" t="s">
        <v>11</v>
      </c>
    </row>
    <row r="14" spans="1:6" x14ac:dyDescent="0.2">
      <c r="A14" s="70" t="s">
        <v>17</v>
      </c>
      <c r="B14" s="75">
        <v>221728</v>
      </c>
      <c r="C14" s="75">
        <v>548372</v>
      </c>
      <c r="D14" s="75">
        <v>730506</v>
      </c>
      <c r="E14" s="75">
        <v>909270</v>
      </c>
      <c r="F14" s="75">
        <v>1076826</v>
      </c>
    </row>
    <row r="15" spans="1:6" x14ac:dyDescent="0.2">
      <c r="A15" t="s">
        <v>338</v>
      </c>
      <c r="B15" s="75">
        <f>140856</f>
        <v>140856</v>
      </c>
      <c r="C15" s="75">
        <v>395871</v>
      </c>
      <c r="D15" s="75">
        <v>527350</v>
      </c>
      <c r="E15" s="75">
        <v>616628</v>
      </c>
      <c r="F15" s="75">
        <v>693659</v>
      </c>
    </row>
    <row r="16" spans="1:6" x14ac:dyDescent="0.2">
      <c r="A16" s="76" t="s">
        <v>339</v>
      </c>
      <c r="B16" s="15">
        <f>B15/B14</f>
        <v>0.63526482897965075</v>
      </c>
      <c r="C16" s="15">
        <f t="shared" ref="C16:F16" si="0">C15/C14</f>
        <v>0.72190228530997202</v>
      </c>
      <c r="D16" s="15">
        <f t="shared" si="0"/>
        <v>0.72189687695925842</v>
      </c>
      <c r="E16" s="15">
        <f t="shared" si="0"/>
        <v>0.67815720303100291</v>
      </c>
      <c r="F16" s="15">
        <f t="shared" si="0"/>
        <v>0.64416999589534429</v>
      </c>
    </row>
    <row r="17" spans="1:6" x14ac:dyDescent="0.2">
      <c r="A17" t="s">
        <v>340</v>
      </c>
      <c r="B17" s="75">
        <v>17636</v>
      </c>
      <c r="C17" s="75">
        <v>33423</v>
      </c>
      <c r="D17" s="75">
        <v>47066</v>
      </c>
      <c r="E17" s="75">
        <v>65073</v>
      </c>
      <c r="F17" s="75">
        <v>90365</v>
      </c>
    </row>
    <row r="18" spans="1:6" x14ac:dyDescent="0.2">
      <c r="A18" s="76" t="s">
        <v>339</v>
      </c>
      <c r="B18" s="15">
        <f>B17/B$14</f>
        <v>7.9538894501371055E-2</v>
      </c>
      <c r="C18" s="15">
        <f t="shared" ref="C18:F18" si="1">C17/C$14</f>
        <v>6.0949501433333574E-2</v>
      </c>
      <c r="D18" s="15">
        <f>D17/D$14</f>
        <v>6.4429313380040681E-2</v>
      </c>
      <c r="E18" s="15">
        <f t="shared" si="1"/>
        <v>7.1566201458312717E-2</v>
      </c>
      <c r="F18" s="15">
        <f t="shared" si="1"/>
        <v>8.3917921744088644E-2</v>
      </c>
    </row>
    <row r="19" spans="1:6" x14ac:dyDescent="0.2">
      <c r="A19" t="s">
        <v>341</v>
      </c>
      <c r="B19" s="75">
        <v>13627</v>
      </c>
      <c r="C19" s="75">
        <v>29230</v>
      </c>
      <c r="D19" s="75">
        <v>45321</v>
      </c>
      <c r="E19" s="75">
        <v>67288</v>
      </c>
      <c r="F19" s="75">
        <v>80831</v>
      </c>
    </row>
    <row r="20" spans="1:6" x14ac:dyDescent="0.2">
      <c r="A20" s="76" t="s">
        <v>339</v>
      </c>
      <c r="B20" s="15">
        <f>B19/B$14</f>
        <v>6.1458182998989752E-2</v>
      </c>
      <c r="C20" s="15">
        <f t="shared" ref="C20:F20" si="2">C19/C$14</f>
        <v>5.3303232112507565E-2</v>
      </c>
      <c r="D20" s="15">
        <f t="shared" si="2"/>
        <v>6.2040558188433771E-2</v>
      </c>
      <c r="E20" s="15">
        <f t="shared" si="2"/>
        <v>7.4002221562352213E-2</v>
      </c>
      <c r="F20" s="15">
        <f t="shared" si="2"/>
        <v>7.5064123637430744E-2</v>
      </c>
    </row>
    <row r="21" spans="1:6" x14ac:dyDescent="0.2">
      <c r="A21" t="s">
        <v>342</v>
      </c>
      <c r="B21" s="75">
        <f>15080</f>
        <v>15080</v>
      </c>
      <c r="C21" s="75">
        <v>19658</v>
      </c>
      <c r="D21" s="75">
        <v>0</v>
      </c>
      <c r="E21" s="75">
        <v>0</v>
      </c>
      <c r="F21" s="75">
        <v>0</v>
      </c>
    </row>
    <row r="22" spans="1:6" x14ac:dyDescent="0.2">
      <c r="A22" s="76" t="s">
        <v>339</v>
      </c>
      <c r="B22" s="15">
        <f>B21/B$14</f>
        <v>6.8011257035647282E-2</v>
      </c>
      <c r="C22" s="15">
        <f t="shared" ref="C22:F22" si="3">C21/C$14</f>
        <v>3.5847928048842757E-2</v>
      </c>
      <c r="D22" s="15">
        <f t="shared" si="3"/>
        <v>0</v>
      </c>
      <c r="E22" s="15">
        <f t="shared" si="3"/>
        <v>0</v>
      </c>
      <c r="F22" s="15">
        <f t="shared" si="3"/>
        <v>0</v>
      </c>
    </row>
    <row r="23" spans="1:6" x14ac:dyDescent="0.2">
      <c r="A23" t="s">
        <v>343</v>
      </c>
      <c r="B23" s="75">
        <v>0</v>
      </c>
      <c r="C23" s="75">
        <v>0</v>
      </c>
      <c r="D23" s="75">
        <v>30237</v>
      </c>
      <c r="E23" s="75">
        <v>47233</v>
      </c>
      <c r="F23" s="75">
        <v>59567</v>
      </c>
    </row>
    <row r="24" spans="1:6" x14ac:dyDescent="0.2">
      <c r="A24" s="76" t="s">
        <v>339</v>
      </c>
      <c r="B24" s="15">
        <f>B23/B$14</f>
        <v>0</v>
      </c>
      <c r="C24" s="15">
        <f t="shared" ref="C24:F24" si="4">C23/C$14</f>
        <v>0</v>
      </c>
      <c r="D24" s="15">
        <f t="shared" si="4"/>
        <v>4.1391857151070625E-2</v>
      </c>
      <c r="E24" s="15">
        <f t="shared" si="4"/>
        <v>5.1946066624874901E-2</v>
      </c>
      <c r="F24" s="15">
        <f t="shared" si="4"/>
        <v>5.5317200736237797E-2</v>
      </c>
    </row>
    <row r="25" spans="1:6" x14ac:dyDescent="0.2">
      <c r="A25" t="s">
        <v>344</v>
      </c>
      <c r="B25" s="75">
        <v>34529</v>
      </c>
      <c r="C25" s="75">
        <v>70190</v>
      </c>
      <c r="D25" s="75">
        <v>80532</v>
      </c>
      <c r="E25" s="75">
        <v>113048</v>
      </c>
      <c r="F25" s="75">
        <v>152404</v>
      </c>
    </row>
    <row r="26" spans="1:6" x14ac:dyDescent="0.2">
      <c r="A26" s="76" t="s">
        <v>339</v>
      </c>
      <c r="B26" s="15">
        <f>B25/B$14</f>
        <v>0.15572683648434119</v>
      </c>
      <c r="C26" s="15">
        <f t="shared" ref="C26:E26" si="5">C25/C$14</f>
        <v>0.12799705309534404</v>
      </c>
      <c r="D26" s="15">
        <f t="shared" si="5"/>
        <v>0.11024139432119653</v>
      </c>
      <c r="E26" s="15">
        <f t="shared" si="5"/>
        <v>0.12432830732345727</v>
      </c>
      <c r="F26" s="15">
        <f>F25/F$14</f>
        <v>0.14153075798689854</v>
      </c>
    </row>
    <row r="29" spans="1:6" x14ac:dyDescent="0.2">
      <c r="A29" t="s">
        <v>477</v>
      </c>
      <c r="B29">
        <v>2021</v>
      </c>
      <c r="C29">
        <v>2022</v>
      </c>
      <c r="D29">
        <v>2023</v>
      </c>
      <c r="E29">
        <v>2024</v>
      </c>
      <c r="F29">
        <v>2025</v>
      </c>
    </row>
    <row r="30" spans="1:6" x14ac:dyDescent="0.2">
      <c r="A30" t="s">
        <v>478</v>
      </c>
      <c r="B30" s="80">
        <v>0.64</v>
      </c>
      <c r="C30" s="80">
        <v>0.72</v>
      </c>
      <c r="D30" s="80">
        <v>0.72</v>
      </c>
      <c r="E30" s="80">
        <v>0.68</v>
      </c>
      <c r="F30" s="80">
        <v>0.64</v>
      </c>
    </row>
    <row r="31" spans="1:6" x14ac:dyDescent="0.2">
      <c r="A31" t="s">
        <v>479</v>
      </c>
      <c r="B31" s="80">
        <v>0.08</v>
      </c>
      <c r="C31" s="80">
        <v>0.06</v>
      </c>
      <c r="D31" s="80">
        <v>0.06</v>
      </c>
      <c r="E31" s="80">
        <v>7.0000000000000007E-2</v>
      </c>
      <c r="F31" s="80">
        <v>0.08</v>
      </c>
    </row>
    <row r="32" spans="1:6" x14ac:dyDescent="0.2">
      <c r="A32" t="s">
        <v>480</v>
      </c>
      <c r="B32" s="80">
        <v>0.06</v>
      </c>
      <c r="C32" s="80">
        <v>0.05</v>
      </c>
      <c r="D32" s="80">
        <v>0.06</v>
      </c>
      <c r="E32" s="80">
        <v>7.0000000000000007E-2</v>
      </c>
      <c r="F32" s="80">
        <v>0.08</v>
      </c>
    </row>
    <row r="33" spans="1:6" x14ac:dyDescent="0.2">
      <c r="A33" t="s">
        <v>481</v>
      </c>
      <c r="B33" s="80">
        <v>0</v>
      </c>
      <c r="C33" s="80">
        <v>0</v>
      </c>
      <c r="D33" s="80">
        <v>0.04</v>
      </c>
      <c r="E33" s="80">
        <v>0.05</v>
      </c>
      <c r="F33" s="80">
        <v>0.06</v>
      </c>
    </row>
    <row r="34" spans="1:6" x14ac:dyDescent="0.2">
      <c r="A34" t="s">
        <v>185</v>
      </c>
      <c r="B34" s="80">
        <v>0.16</v>
      </c>
      <c r="C34" s="80">
        <v>0.13</v>
      </c>
      <c r="D34" s="80">
        <v>0.11</v>
      </c>
      <c r="E34" s="80">
        <v>0.12</v>
      </c>
      <c r="F34" s="80">
        <v>0.14000000000000001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Vertical Statements </vt:lpstr>
      <vt:lpstr>Revenue Forecast </vt:lpstr>
      <vt:lpstr>Revenue Explanation</vt:lpstr>
      <vt:lpstr>Depreciation Schedules </vt:lpstr>
      <vt:lpstr>WACC Calculation</vt:lpstr>
      <vt:lpstr>DCF </vt:lpstr>
      <vt:lpstr>Relative Valuation</vt:lpstr>
      <vt:lpstr>Target Price Computation</vt:lpstr>
      <vt:lpstr>Charts</vt:lpstr>
      <vt:lpstr>Company DATA</vt:lpstr>
    </vt:vector>
  </TitlesOfParts>
  <Manager/>
  <Company>York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Tianli Dong</dc:creator>
  <cp:keywords/>
  <dc:description/>
  <cp:lastModifiedBy>Mirza Aydemir</cp:lastModifiedBy>
  <cp:revision/>
  <dcterms:created xsi:type="dcterms:W3CDTF">2025-11-14T18:56:00Z</dcterms:created>
  <dcterms:modified xsi:type="dcterms:W3CDTF">2026-06-05T03:03:56Z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419E88EFF38545BCA8BA5C3A8A583496_13</vt:lpwstr>
  </property>
  <property fmtid="{D5CDD505-2E9C-101B-9397-08002B2CF9AE}" pid="3" name="KSOProductBuildVer">
    <vt:lpwstr>1033-12.2.0.23196</vt:lpwstr>
  </property>
</Properties>
</file>